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'СВОД'!$C$1:$W$90</definedName>
  </definedNames>
  <calcPr fullCalcOnLoad="1"/>
</workbook>
</file>

<file path=xl/sharedStrings.xml><?xml version="1.0" encoding="utf-8"?>
<sst xmlns="http://schemas.openxmlformats.org/spreadsheetml/2006/main" count="711" uniqueCount="463">
  <si>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</si>
  <si>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</si>
  <si>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</si>
  <si>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</si>
  <si>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</si>
  <si>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</si>
  <si>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</si>
  <si>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</si>
  <si>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</si>
  <si>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</si>
  <si>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</si>
  <si>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</si>
  <si>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</si>
  <si>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</si>
  <si>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</si>
  <si>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</si>
  <si>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</si>
  <si>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</si>
  <si>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</si>
  <si>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</si>
  <si>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</si>
  <si>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</si>
  <si>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</si>
  <si>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</si>
  <si>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</si>
  <si>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</si>
  <si>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</si>
  <si>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15, п. 1, п.п. 7
2) ст. 1, п. 1
3) ст. 11, п 2, п.п. "г"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</si>
  <si>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</si>
  <si>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</si>
  <si>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
2) п. 7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</si>
  <si>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</si>
  <si>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</si>
  <si>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</si>
  <si>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</si>
  <si>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</si>
  <si>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</si>
  <si>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</si>
  <si>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</si>
  <si>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</si>
  <si>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</si>
  <si>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</si>
  <si>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</si>
  <si>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 xml:space="preserve">1) ст. 34, п. 9
2) ст. 22, п. 2
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</si>
  <si>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</si>
  <si>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</si>
  <si>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</si>
  <si>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</si>
  <si>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</si>
  <si>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</si>
  <si>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</si>
  <si>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</si>
  <si>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</si>
  <si>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</si>
  <si>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</si>
  <si>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</si>
  <si>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</si>
  <si>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</si>
  <si>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</si>
  <si>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</si>
  <si>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</si>
  <si>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</si>
  <si>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</si>
  <si>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</si>
  <si>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</si>
  <si>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</si>
  <si>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</si>
  <si>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</si>
  <si>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</si>
  <si>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</si>
  <si>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</si>
  <si>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</si>
  <si>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</si>
  <si>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</si>
  <si>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</si>
  <si>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</si>
  <si>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</si>
  <si>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</si>
  <si>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</si>
  <si>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</si>
  <si>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</si>
  <si>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</si>
  <si>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</si>
  <si>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</si>
  <si>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</si>
  <si>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</si>
  <si>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</si>
  <si>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</si>
  <si>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</si>
  <si>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</si>
  <si>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</si>
  <si>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</si>
  <si>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</si>
  <si>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</si>
  <si>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</si>
  <si>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</si>
  <si>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</si>
  <si>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</si>
  <si>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</si>
  <si>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</si>
  <si>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</si>
  <si>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</si>
  <si>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</si>
  <si>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</si>
  <si>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</si>
  <si>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</si>
  <si>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</si>
  <si>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</si>
  <si>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</si>
  <si>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</si>
  <si>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</si>
  <si>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</si>
  <si>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</si>
  <si>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</si>
  <si>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</si>
  <si>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</si>
  <si>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</si>
  <si>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</si>
  <si>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</si>
  <si>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</si>
  <si>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</si>
  <si>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</si>
  <si>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</si>
  <si>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</si>
  <si>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</si>
  <si>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</si>
  <si>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</si>
  <si>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</si>
  <si>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</si>
  <si>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</si>
  <si>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</si>
  <si>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</si>
  <si>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</si>
  <si>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</si>
  <si>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</si>
  <si>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</si>
  <si>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</si>
  <si>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</si>
  <si>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</si>
  <si>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</si>
  <si>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</si>
  <si>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</si>
  <si>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</si>
  <si>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</si>
  <si>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</si>
  <si>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</si>
  <si>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</si>
  <si>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</si>
  <si>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</si>
  <si>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</si>
  <si>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</si>
  <si>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</si>
  <si>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</si>
  <si>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</si>
  <si>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</si>
  <si>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</si>
  <si>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</si>
  <si>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</si>
  <si>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</si>
  <si>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</si>
  <si>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</si>
  <si>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</si>
  <si>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</si>
  <si>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</si>
  <si>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</si>
  <si>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</si>
  <si>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</si>
  <si>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</si>
  <si>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</si>
  <si>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</si>
  <si>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</si>
  <si>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</si>
  <si>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</si>
  <si>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</si>
  <si>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</si>
  <si>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</si>
  <si>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</si>
  <si>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</si>
  <si>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</si>
  <si>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</si>
  <si>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</si>
  <si>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</si>
  <si>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</si>
  <si>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</si>
  <si>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</si>
  <si>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</si>
  <si>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</si>
  <si>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</si>
  <si>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</si>
  <si>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</si>
  <si>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</si>
  <si>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</si>
  <si>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</si>
  <si>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</si>
  <si>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</si>
  <si>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</si>
  <si>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</si>
  <si>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</si>
  <si>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</si>
  <si>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 xml:space="preserve">1) 06.10.2003,
не установлен
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</si>
  <si>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</si>
  <si>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</si>
  <si>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</si>
  <si>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</si>
  <si>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</si>
  <si>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</si>
  <si>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</si>
  <si>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</si>
  <si>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</si>
  <si>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</si>
  <si>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>1) 01.01.2006, не установлен
2) 04.12.2009, не установлен
3) 24.07.2000, не установлен</t>
  </si>
  <si>
    <t xml:space="preserve">1) Закон Нижегородской области от 25.04.1997 № 70-З "О молодежной политике"
                                                                                                           </t>
  </si>
  <si>
    <t xml:space="preserve">1) ст. 8, п. 2
</t>
  </si>
  <si>
    <t xml:space="preserve">1) 25.04.1997, не установлен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</si>
  <si>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</si>
  <si>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</si>
  <si>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</si>
  <si>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</si>
  <si>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</si>
  <si>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</si>
  <si>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</si>
  <si>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</si>
  <si>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</si>
  <si>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</si>
  <si>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</si>
  <si>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1.30.создание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</si>
  <si>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</si>
  <si>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</si>
  <si>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</si>
  <si>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</si>
  <si>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</si>
  <si>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</si>
  <si>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</si>
  <si>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</si>
  <si>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</si>
  <si>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</si>
  <si>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</si>
  <si>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</si>
  <si>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</si>
  <si>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</si>
  <si>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</si>
  <si>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</si>
  <si>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</si>
  <si>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</si>
  <si>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</si>
  <si>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</si>
  <si>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</si>
  <si>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</si>
  <si>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</si>
  <si>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</si>
  <si>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</si>
  <si>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</si>
  <si>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</si>
  <si>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</si>
  <si>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</si>
  <si>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</si>
  <si>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</si>
  <si>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</si>
  <si>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</si>
  <si>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</si>
  <si>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</si>
  <si>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</si>
  <si>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</si>
  <si>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</si>
  <si>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</si>
  <si>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</si>
  <si>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</si>
  <si>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</si>
  <si>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</si>
  <si>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</si>
  <si>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</si>
  <si>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</si>
  <si>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</si>
  <si>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</si>
  <si>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</si>
  <si>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</si>
  <si>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</si>
  <si>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</si>
  <si>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</si>
  <si>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</si>
  <si>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</si>
  <si>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</si>
  <si>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</si>
  <si>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</si>
  <si>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</si>
  <si>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</si>
  <si>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</si>
  <si>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>ст. 139</t>
  </si>
  <si>
    <t>06       05</t>
  </si>
  <si>
    <t>03         02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</si>
  <si>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</si>
  <si>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>Бюджетный кодекс Российской Федерации</t>
  </si>
  <si>
    <t xml:space="preserve">1) 03.08.1998,
не установлен
</t>
  </si>
  <si>
    <t xml:space="preserve">
10      05</t>
  </si>
  <si>
    <t xml:space="preserve">
03         02</t>
  </si>
  <si>
    <t>1.46 участие в предупреждении и ликвидации последствий чрезвычайных ситуаций в границах сельского поселения</t>
  </si>
  <si>
    <t>1.48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</si>
  <si>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1) 04.03.2020, не установлен</t>
  </si>
  <si>
    <t xml:space="preserve">1) Закон Нижегородской области от 02.03.2020 № 11-З "О внесении изменений в Закон Нижегородской области от 19.12.2019 №165-З "Об областном бюджете на 2020 год и на плановый период 2021 и 2022 годов"
                                                                                                        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</si>
  <si>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</si>
  <si>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 xml:space="preserve">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
                                                                                                        </t>
  </si>
  <si>
    <t>24.12.1994г., не установлен</t>
  </si>
  <si>
    <t>24.01.1996г., не установлен</t>
  </si>
  <si>
    <t>13</t>
  </si>
  <si>
    <t>2.10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</si>
  <si>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"Об основных гарантиях избирательных прав и права на участие в референдуме граждан Российской Федерации" от 12.06.2002 N 67-ФЗ</t>
  </si>
  <si>
    <t>15.06.2002 не установлен</t>
  </si>
  <si>
    <t>05     04</t>
  </si>
  <si>
    <t>отчетный  2020 год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</si>
  <si>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</t>
  </si>
  <si>
    <t xml:space="preserve">1) ст. 15, п. 1, п.п. 4
2) ст. 21, п. 4, абз. 14
</t>
  </si>
  <si>
    <t xml:space="preserve">1) 06.10.2003, не установлен
2) 26.03.2003, не установлен
</t>
  </si>
  <si>
    <t xml:space="preserve">1) Закон Нижегородской области от 05.09.2012 № 117-З "Об энергосбережении и повышении энергетической эффективности на территории Нижегородской области"
</t>
  </si>
  <si>
    <t xml:space="preserve">1) ст.5, абз, 11
</t>
  </si>
  <si>
    <t xml:space="preserve">1) 05.09.2012, не установлен
</t>
  </si>
  <si>
    <t xml:space="preserve">
01</t>
  </si>
  <si>
    <t xml:space="preserve">
13</t>
  </si>
  <si>
    <t>1.40.организация в границах сельского поселения электро-, тепло-, газо- и водоснабжения населения, водоотведения, снабжение населения топливом в пределах полномочий, установленных законодательством Российской Федерации</t>
  </si>
  <si>
    <t>текущий 
 2021 год</t>
  </si>
  <si>
    <t xml:space="preserve">1) 06.10.2003, не установлен
</t>
  </si>
  <si>
    <t xml:space="preserve">1) полностью
</t>
  </si>
  <si>
    <t>очередной 2022 год</t>
  </si>
  <si>
    <t>12                         13       01</t>
  </si>
  <si>
    <t>04                      01     05</t>
  </si>
  <si>
    <t>05     05</t>
  </si>
  <si>
    <t>Предварительный реестр расходных обязательств муниципальных образований, входящих в состав Нижегородской области  на 03.11.2021г.</t>
  </si>
  <si>
    <t>1.66 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</si>
  <si>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 xml:space="preserve"> Княгининский муниципальный район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</si>
  <si>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</si>
  <si>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</si>
  <si>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 06.10.2003, не установлен, не установлен
2) 02.03.2007, не установлен</t>
  </si>
  <si>
    <t>ст. 38, абз, 1</t>
  </si>
  <si>
    <t>06</t>
  </si>
  <si>
    <t>1.2. Установление, изменение и отмена местных налогов и сборов муниципального района</t>
  </si>
  <si>
    <t xml:space="preserve">ст. 15, п. 1, п.п. 2
</t>
  </si>
  <si>
    <t xml:space="preserve"> 06.10.2003, не установлен, не установлен</t>
  </si>
  <si>
    <t>01
03        04
05</t>
  </si>
  <si>
    <t>11
09         10             02</t>
  </si>
  <si>
    <t>10
10</t>
  </si>
  <si>
    <t>03
04</t>
  </si>
  <si>
    <t>01 
01          03         01         04</t>
  </si>
  <si>
    <t>04
06            09         13         10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</si>
  <si>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</si>
  <si>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</si>
  <si>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</si>
  <si>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</si>
  <si>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</si>
  <si>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Постановление администрации княгининского района от 10.12.2010 №1107 "О субвенциях сельским поселениям Княгининского района на осуществление полномочий по первичному воинскому учету на территориях, где отсутствуют военные комиссариаты"</t>
  </si>
  <si>
    <t>в целом</t>
  </si>
  <si>
    <t>10.12.2010, не установлен</t>
  </si>
  <si>
    <t>05    
04</t>
  </si>
  <si>
    <t>03    
09</t>
  </si>
  <si>
    <t>1.14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</si>
  <si>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ст.15, п.1 п.п.11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</si>
  <si>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</si>
  <si>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</si>
  <si>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>Федеральный закон от  29.12.1994 №78-ФЗ "О библиотечном деле"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</si>
  <si>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</si>
  <si>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</si>
  <si>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</si>
  <si>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02
01            01      </t>
  </si>
  <si>
    <t>01             03           04        07        07        12  
 04
08</t>
  </si>
  <si>
    <t>13             09            12         03         07         01    
08
04</t>
  </si>
  <si>
    <t>1.31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</si>
  <si>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06.10,2003</t>
  </si>
  <si>
    <t>11</t>
  </si>
  <si>
    <t>01         01        04        10        10       01
03 
04 
04
05
08
11</t>
  </si>
  <si>
    <t>04         13         10         01         03         02
14         08
10
 01
04
05</t>
  </si>
  <si>
    <t xml:space="preserve"> </t>
  </si>
  <si>
    <t>01
01</t>
  </si>
  <si>
    <t>06
03</t>
  </si>
  <si>
    <t>04
04</t>
  </si>
  <si>
    <t>05
12</t>
  </si>
  <si>
    <t xml:space="preserve">1) ст. 15, п. 1, п.п. 25, ст.6
2) ст. 11
3) ст. 16
</t>
  </si>
  <si>
    <t xml:space="preserve">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</si>
  <si>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</si>
  <si>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</si>
  <si>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</si>
  <si>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</si>
  <si>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</si>
  <si>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15.12.2015г. № 834 "Об утверждении положения о порядке предоставления субсидийна возмещение части затрат на приобретение оборудования и техники"</t>
  </si>
  <si>
    <t>01.01.2017г., " не установлена"</t>
  </si>
  <si>
    <t>04
05</t>
  </si>
  <si>
    <t>05
05</t>
  </si>
  <si>
    <t>05
01</t>
  </si>
  <si>
    <t>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
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</si>
  <si>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20.04.2013 не установлен
13.03.2020 "Не установлена"</t>
  </si>
  <si>
    <t xml:space="preserve"> 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
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</si>
  <si>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18.08.2011 не установлен
13.03.2020 "Не установлена"</t>
  </si>
  <si>
    <t>3.1.54. Субсидии на осуществление полномочий по организации проведения мероприятий при осуществлении деятельности по обращению с животными в части отлова и содержания животных без владельцев</t>
  </si>
  <si>
    <t xml:space="preserve">Постановление Правительства Нижегородской области от 03.07.2020г. № 538 " об утверждении Положения о порядке и условиях использования субвенций из областного бюджета бюджетам муниципальных районов и городских округов  Нижегородской области неа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владельцев" </t>
  </si>
  <si>
    <t>03.07.2020г., " не установлена"</t>
  </si>
  <si>
    <t>3.1.55. Субсидии на возмещение части затрат на поддержку собственного производства молока за счет средств федерального  бюджета</t>
  </si>
  <si>
    <t>Постановление Правительства  России от 30.11.2019г. " 1573 "О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и признании утратившим силу отдельных актов и отдельных положений актов Правительства РФ"</t>
  </si>
  <si>
    <t>В целом</t>
  </si>
  <si>
    <t>01.01.2020г. "Не установлена"</t>
  </si>
  <si>
    <t>Постановление  Правительства   Нижегородской области от 13.03.2020г. № 207 "О  государственной поддержке сельскохозяйственного производства  по отдельным подотраслям растениеводства и животноводства"</t>
  </si>
  <si>
    <t>13.03.2020г., " не установлена"</t>
  </si>
  <si>
    <t>3.1.56.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областного бюджета</t>
  </si>
  <si>
    <t>Постановление  Правительства   Нижегородской области от 18.03.2020г. № 218 "О государственной поддержке на стимулирование развития приоритетных подотраслей агропромышленного комплекса и развитие малых форм хозяйствования"</t>
  </si>
  <si>
    <t xml:space="preserve">в целом </t>
  </si>
  <si>
    <t>18.03.2020 "Не установлена"</t>
  </si>
  <si>
    <t>3.1.57. Субсидии на возмещение части затрат на поддержку собственного производства молока за счет средств областного бюджета</t>
  </si>
  <si>
    <t>13.03.2020 "Не установлена"</t>
  </si>
  <si>
    <t>3.1.58. Субвенции на возмещение части затрат на поддержку элитного семеноводства за счет средств федерального  бюджета</t>
  </si>
  <si>
    <t>3.1.59. Субсидия на возмещение части затрат, связанных с производством, реализацией и отгрузкой на собственную переработку сельскохозяйственных культур по ставке на 1 гектар за счет средств федерального бюджета</t>
  </si>
  <si>
    <t>18.03.2020г., " не установлена"</t>
  </si>
  <si>
    <t>Постановление  Правительства   Нижегородской области от 21.06.2021 № 513 "Об утверждении порядкапредоставления из местного бюджета субсидии на возмещение производителям зерновых культур части затрат на производство и реализацию зерновых культур, источником финансового обеспечения которых являются субвенции 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культур""</t>
  </si>
  <si>
    <t>4.5 по предоставлению субсидий, в том числе:</t>
  </si>
  <si>
    <t>4.5.1. Субсидии из районного бюджета на обработку территории населенных пунктой поселений Княгининского муниципального района от борщевика Сосновского</t>
  </si>
  <si>
    <t xml:space="preserve">Постановление администрации Княгининского муниципального района Нижегородской области от 11.11 2020 года № 967 " О внесении изменений в муниципальную программу Княгининского муниципального района Нижегородской области "Развитие агропромышленного комплекса Княгининского муниципального района Нижегородской области" на 2020-2024 годы, утвержденную постановлением администрации Княгининского муниципального района от 02.12.2019 г. № 972 </t>
  </si>
  <si>
    <t>11.11.2020г., " не установлена"</t>
  </si>
  <si>
    <t>150,0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</si>
  <si>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</si>
  <si>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</si>
  <si>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</si>
  <si>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</si>
  <si>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>04
07
07
07
07                                                                                                                                                                                                          07</t>
  </si>
  <si>
    <t>01
01
02                                                 03
07
09</t>
  </si>
  <si>
    <t>1) Закон Нижегородской области от 30.12.2005 № 212-З "О социальной поддержке отдельных категорий граждан в целях реализации их права на образование"</t>
  </si>
  <si>
    <t xml:space="preserve">1) ст. 11, п. 2
</t>
  </si>
  <si>
    <t xml:space="preserve">1) 30.12.2005, не установлен
</t>
  </si>
  <si>
    <t xml:space="preserve"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                                                                                4) Закон Российской Федерации от 29.12.2012 № 273-ФЗ "Об образовании в Российской Федерации"
</t>
  </si>
  <si>
    <t xml:space="preserve">1) ст. 15, п. 1, п.п. 11
2) ст. 5
3) ст. 5
4) гл.7, гл. 10
</t>
  </si>
  <si>
    <t xml:space="preserve">1) 06.10.2003, не установлен
2) 10.07.1992, не установлен
3) 21.12.1996, не установлен
4) 01.09.2013, не установлен 
</t>
  </si>
  <si>
    <t>02
12</t>
  </si>
  <si>
    <t>01
03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</si>
  <si>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</si>
  <si>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 xml:space="preserve">1) ст. 6, п.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ст. 2, ст. 3
3) полностью 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</si>
  <si>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</si>
  <si>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</si>
  <si>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</si>
  <si>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</si>
  <si>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</si>
  <si>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</si>
  <si>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</si>
  <si>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>ст. 20</t>
  </si>
  <si>
    <t>06.10.2003,
не установлен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</si>
  <si>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</si>
  <si>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1) ст. 6, п. 1
2) ст. 2, ст.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полностью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</si>
  <si>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</si>
  <si>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</si>
  <si>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</si>
  <si>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</si>
  <si>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</si>
  <si>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1) ст. 1, ст.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</si>
  <si>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</si>
  <si>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</si>
  <si>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</si>
  <si>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</si>
  <si>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</si>
  <si>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</si>
  <si>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</si>
  <si>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</si>
  <si>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>3.1.48..Субвенции на исполнение полномочий по финансовому обеспечению осуществления присмотра и  ухода за детьми-инвалидами, детьми-сиротами и детьми,оставшимися без попечения родителей, а также за детьми с туберкулезной интоксикацией, обучающимися в  муниципальных образовательных организациях, реализующих образовательные программы дошкольного образования.</t>
  </si>
  <si>
    <t>3.1.49..Субвенции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</t>
  </si>
  <si>
    <t>3.1.60..Субвенции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начального, основного общего и среднего общего обоазования, в том числе адаптированные основные общеобразовательные программы.</t>
  </si>
  <si>
    <t>3.1.61..Субвенции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образования</t>
  </si>
  <si>
    <t>3.1.62 Субсидии на возмещение части затрат на производство и реализацию зерновых культур за счет средств областного бюджета</t>
  </si>
  <si>
    <t>3.1.63 Субсидии на возмещение части затрат на производство и реализацию зерновых культур за счет средств федерального бюджета</t>
  </si>
  <si>
    <t xml:space="preserve">
1) п.3 
2) п.1
3) п.1</t>
  </si>
  <si>
    <t xml:space="preserve">
1) 16.09.2010-31.12.2013
2) 03.03.2014, 31.12.2015
3)01.01.2015, не установлен</t>
  </si>
  <si>
    <t xml:space="preserve">3.1.51.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</si>
</sst>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35" applyFont="1" applyFill="1" applyAlignment="1">
      <alignment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35" applyFont="1" applyFill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80" fontId="12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9" fillId="0" borderId="0" xfId="0" applyNumberFormat="1" applyFont="1" applyAlignment="1">
      <alignment/>
    </xf>
    <xf numFmtId="180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" fontId="9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vertical="center"/>
      <protection/>
    </xf>
    <xf numFmtId="172" fontId="4" fillId="33" borderId="0" xfId="35" applyNumberFormat="1" applyFont="1" applyFill="1" applyAlignment="1">
      <alignment vertical="center"/>
      <protection/>
    </xf>
    <xf numFmtId="0" fontId="4" fillId="33" borderId="0" xfId="35" applyFont="1" applyFill="1" applyAlignment="1">
      <alignment vertical="center"/>
      <protection/>
    </xf>
    <xf numFmtId="0" fontId="4" fillId="34" borderId="0" xfId="35" applyFont="1" applyFill="1" applyAlignment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>
      <alignment horizontal="justify" vertical="center" wrapText="1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justify" vertical="center" wrapText="1"/>
    </xf>
    <xf numFmtId="0" fontId="4" fillId="33" borderId="0" xfId="35" applyFont="1" applyFill="1" applyAlignment="1" applyProtection="1">
      <alignment vertical="center" wrapText="1"/>
      <protection locked="0"/>
    </xf>
    <xf numFmtId="0" fontId="4" fillId="33" borderId="0" xfId="35" applyFont="1" applyFill="1" applyAlignment="1" applyProtection="1">
      <alignment horizontal="center" vertical="center"/>
      <protection locked="0"/>
    </xf>
    <xf numFmtId="49" fontId="4" fillId="33" borderId="0" xfId="35" applyNumberFormat="1" applyFont="1" applyFill="1" applyAlignment="1" applyProtection="1">
      <alignment horizontal="center" vertical="center"/>
      <protection locked="0"/>
    </xf>
    <xf numFmtId="0" fontId="4" fillId="33" borderId="0" xfId="35" applyFont="1" applyFill="1" applyAlignment="1">
      <alignment vertical="center" wrapText="1"/>
      <protection/>
    </xf>
    <xf numFmtId="0" fontId="4" fillId="33" borderId="0" xfId="35" applyFont="1" applyFill="1" applyAlignment="1">
      <alignment horizontal="center" vertical="center"/>
      <protection/>
    </xf>
    <xf numFmtId="49" fontId="4" fillId="33" borderId="0" xfId="35" applyNumberFormat="1" applyFont="1" applyFill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justify" vertical="center" wrapText="1"/>
    </xf>
    <xf numFmtId="0" fontId="12" fillId="35" borderId="10" xfId="0" applyFont="1" applyFill="1" applyBorder="1" applyAlignment="1">
      <alignment vertical="center" wrapText="1"/>
    </xf>
    <xf numFmtId="0" fontId="4" fillId="35" borderId="10" xfId="35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vertical="top"/>
    </xf>
    <xf numFmtId="0" fontId="9" fillId="33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12" fillId="33" borderId="10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9" fillId="0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35" applyFont="1" applyFill="1" applyBorder="1" applyAlignment="1">
      <alignment horizontal="center" vertical="center" wrapText="1"/>
      <protection/>
    </xf>
    <xf numFmtId="49" fontId="9" fillId="33" borderId="10" xfId="35" applyNumberFormat="1" applyFont="1" applyFill="1" applyBorder="1" applyAlignment="1">
      <alignment horizontal="center" vertical="center" wrapText="1"/>
      <protection/>
    </xf>
    <xf numFmtId="14" fontId="9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172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33" borderId="10" xfId="60" applyNumberFormat="1" applyFont="1" applyFill="1" applyBorder="1" applyAlignment="1" applyProtection="1">
      <alignment horizontal="left" vertical="top" wrapText="1" readingOrder="1"/>
      <protection locked="0"/>
    </xf>
    <xf numFmtId="14" fontId="9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5" borderId="10" xfId="35" applyNumberFormat="1" applyFont="1" applyFill="1" applyBorder="1" applyAlignment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vertical="center" wrapText="1"/>
    </xf>
    <xf numFmtId="172" fontId="4" fillId="34" borderId="0" xfId="35" applyNumberFormat="1" applyFont="1" applyFill="1" applyAlignment="1">
      <alignment vertical="center"/>
      <protection/>
    </xf>
    <xf numFmtId="0" fontId="4" fillId="34" borderId="0" xfId="35" applyFont="1" applyFill="1" applyAlignment="1">
      <alignment vertical="center"/>
      <protection/>
    </xf>
    <xf numFmtId="0" fontId="1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3" borderId="10" xfId="0" applyFont="1" applyFill="1" applyBorder="1" applyAlignment="1">
      <alignment vertical="center" wrapText="1"/>
    </xf>
    <xf numFmtId="172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0" xfId="0" applyNumberFormat="1" applyFont="1" applyFill="1" applyBorder="1" applyAlignment="1" applyProtection="1">
      <alignment vertical="center"/>
      <protection/>
    </xf>
    <xf numFmtId="172" fontId="10" fillId="33" borderId="0" xfId="0" applyNumberFormat="1" applyFont="1" applyFill="1" applyBorder="1" applyAlignment="1" applyProtection="1">
      <alignment vertical="center"/>
      <protection/>
    </xf>
    <xf numFmtId="172" fontId="11" fillId="33" borderId="0" xfId="35" applyNumberFormat="1" applyFont="1" applyFill="1" applyAlignment="1">
      <alignment vertical="center"/>
      <protection/>
    </xf>
    <xf numFmtId="0" fontId="11" fillId="33" borderId="0" xfId="35" applyFont="1" applyFill="1" applyAlignment="1">
      <alignment vertical="center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6" borderId="10" xfId="60" applyNumberFormat="1" applyFont="1" applyFill="1" applyBorder="1" applyAlignment="1" applyProtection="1">
      <alignment horizontal="left" vertical="center" wrapText="1" shrinkToFit="1"/>
      <protection locked="0"/>
    </xf>
    <xf numFmtId="49" fontId="8" fillId="36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8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60" applyNumberFormat="1" applyFont="1" applyFill="1" applyBorder="1" applyAlignment="1" applyProtection="1">
      <alignment vertical="top" wrapText="1" shrinkToFit="1"/>
      <protection locked="0"/>
    </xf>
    <xf numFmtId="172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5" borderId="10" xfId="35" applyNumberFormat="1" applyFont="1" applyFill="1" applyBorder="1" applyAlignment="1">
      <alignment horizontal="center" vertical="center"/>
      <protection/>
    </xf>
    <xf numFmtId="172" fontId="6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72" fontId="9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>
      <alignment horizontal="center" vertical="center" wrapText="1" shrinkToFit="1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3" borderId="13" xfId="0" applyFont="1" applyFill="1" applyBorder="1" applyAlignment="1">
      <alignment horizontal="center" vertical="center" wrapText="1" shrinkToFit="1"/>
    </xf>
    <xf numFmtId="49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 shrinkToFit="1"/>
    </xf>
    <xf numFmtId="49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3" borderId="13" xfId="0" applyNumberFormat="1" applyFont="1" applyFill="1" applyBorder="1" applyAlignment="1">
      <alignment horizontal="center" vertical="center" wrapText="1" shrinkToFi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172" fontId="1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1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172" fontId="15" fillId="33" borderId="13" xfId="0" applyNumberFormat="1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35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showZeros="0" tabSelected="1" view="pageBreakPreview" zoomScaleNormal="73" zoomScaleSheetLayoutView="100" zoomScalePageLayoutView="0" workbookViewId="0" topLeftCell="B1">
      <pane xSplit="2" ySplit="8" topLeftCell="D68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C68" sqref="C68"/>
    </sheetView>
  </sheetViews>
  <sheetFormatPr defaultColWidth="9.00390625" defaultRowHeight="12.75"/>
  <cols>
    <col min="1" max="1" width="0" style="3" hidden="1" customWidth="1"/>
    <col min="2" max="2" width="1.25" style="1" hidden="1" customWidth="1"/>
    <col min="3" max="3" width="52.00390625" style="64" customWidth="1"/>
    <col min="4" max="4" width="30.375" style="65" customWidth="1"/>
    <col min="5" max="5" width="9.75390625" style="65" customWidth="1"/>
    <col min="6" max="6" width="13.875" style="65" customWidth="1"/>
    <col min="7" max="7" width="34.375" style="65" customWidth="1"/>
    <col min="8" max="8" width="16.625" style="65" customWidth="1"/>
    <col min="9" max="9" width="12.625" style="65" customWidth="1"/>
    <col min="10" max="10" width="5.875" style="66" customWidth="1"/>
    <col min="11" max="11" width="6.25390625" style="66" customWidth="1"/>
    <col min="12" max="12" width="13.00390625" style="65" customWidth="1"/>
    <col min="13" max="13" width="11.875" style="65" customWidth="1"/>
    <col min="14" max="15" width="11.375" style="65" customWidth="1"/>
    <col min="16" max="16" width="10.125" style="65" customWidth="1"/>
    <col min="17" max="17" width="8.625" style="65" customWidth="1"/>
    <col min="18" max="18" width="10.375" style="65" customWidth="1"/>
    <col min="19" max="20" width="11.00390625" style="65" customWidth="1"/>
    <col min="21" max="22" width="11.00390625" style="42" customWidth="1"/>
    <col min="23" max="23" width="10.875" style="42" customWidth="1"/>
    <col min="24" max="24" width="9.875" style="3" customWidth="1"/>
    <col min="25" max="25" width="14.625" style="3" customWidth="1"/>
    <col min="26" max="26" width="13.25390625" style="3" customWidth="1"/>
    <col min="27" max="27" width="15.875" style="3" customWidth="1"/>
    <col min="28" max="28" width="14.75390625" style="3" customWidth="1"/>
    <col min="29" max="29" width="13.25390625" style="3" customWidth="1"/>
    <col min="30" max="30" width="16.625" style="3" customWidth="1"/>
    <col min="31" max="16384" width="9.125" style="3" customWidth="1"/>
  </cols>
  <sheetData>
    <row r="1" spans="1:24" s="41" customFormat="1" ht="15.75">
      <c r="A1" s="39" t="s">
        <v>0</v>
      </c>
      <c r="B1" s="183" t="s">
        <v>325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39"/>
    </row>
    <row r="2" spans="1:24" s="41" customFormat="1" ht="6" customHeight="1">
      <c r="A2" s="39"/>
      <c r="B2" s="44"/>
      <c r="C2" s="46"/>
      <c r="D2" s="45"/>
      <c r="E2" s="45"/>
      <c r="F2" s="45"/>
      <c r="G2" s="45"/>
      <c r="H2" s="45"/>
      <c r="I2" s="45"/>
      <c r="J2" s="47"/>
      <c r="K2" s="47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9"/>
    </row>
    <row r="3" spans="1:24" s="41" customFormat="1" ht="15.75" customHeight="1">
      <c r="A3" s="39"/>
      <c r="B3" s="44"/>
      <c r="C3" s="70" t="s">
        <v>252</v>
      </c>
      <c r="D3" s="45"/>
      <c r="E3" s="45"/>
      <c r="F3" s="45"/>
      <c r="G3" s="45"/>
      <c r="H3" s="195" t="s">
        <v>327</v>
      </c>
      <c r="I3" s="195"/>
      <c r="J3" s="195"/>
      <c r="K3" s="195"/>
      <c r="L3" s="19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9"/>
    </row>
    <row r="4" spans="1:24" s="41" customFormat="1" ht="18" customHeight="1">
      <c r="A4" s="39"/>
      <c r="B4" s="44"/>
      <c r="C4" s="70" t="s">
        <v>253</v>
      </c>
      <c r="D4" s="45"/>
      <c r="E4" s="45"/>
      <c r="F4" s="45"/>
      <c r="G4" s="45"/>
      <c r="H4" s="45"/>
      <c r="I4" s="45"/>
      <c r="J4" s="47"/>
      <c r="K4" s="47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9"/>
    </row>
    <row r="5" spans="1:24" s="41" customFormat="1" ht="24.75" customHeight="1">
      <c r="A5" s="39"/>
      <c r="B5" s="184" t="s">
        <v>14</v>
      </c>
      <c r="C5" s="184"/>
      <c r="D5" s="184" t="s">
        <v>20</v>
      </c>
      <c r="E5" s="184"/>
      <c r="F5" s="184"/>
      <c r="G5" s="184"/>
      <c r="H5" s="184"/>
      <c r="I5" s="184"/>
      <c r="J5" s="175" t="s">
        <v>13</v>
      </c>
      <c r="K5" s="176"/>
      <c r="L5" s="184" t="s">
        <v>17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39"/>
    </row>
    <row r="6" spans="1:24" s="41" customFormat="1" ht="27" customHeight="1">
      <c r="A6" s="39" t="s">
        <v>1</v>
      </c>
      <c r="B6" s="184"/>
      <c r="C6" s="184"/>
      <c r="D6" s="184" t="s">
        <v>10</v>
      </c>
      <c r="E6" s="184"/>
      <c r="F6" s="184"/>
      <c r="G6" s="184" t="s">
        <v>249</v>
      </c>
      <c r="H6" s="184"/>
      <c r="I6" s="184"/>
      <c r="J6" s="176"/>
      <c r="K6" s="176"/>
      <c r="L6" s="184" t="s">
        <v>308</v>
      </c>
      <c r="M6" s="184"/>
      <c r="N6" s="196" t="s">
        <v>318</v>
      </c>
      <c r="O6" s="187" t="s">
        <v>321</v>
      </c>
      <c r="P6" s="188"/>
      <c r="Q6" s="189"/>
      <c r="R6" s="190">
        <v>2023</v>
      </c>
      <c r="S6" s="188"/>
      <c r="T6" s="189"/>
      <c r="U6" s="190">
        <v>2024</v>
      </c>
      <c r="V6" s="188"/>
      <c r="W6" s="189"/>
      <c r="X6" s="39"/>
    </row>
    <row r="7" spans="1:24" s="41" customFormat="1" ht="63" customHeight="1">
      <c r="A7" s="39" t="s">
        <v>2</v>
      </c>
      <c r="B7" s="184"/>
      <c r="C7" s="184"/>
      <c r="D7" s="48" t="s">
        <v>8</v>
      </c>
      <c r="E7" s="48" t="s">
        <v>9</v>
      </c>
      <c r="F7" s="48" t="s">
        <v>3</v>
      </c>
      <c r="G7" s="48" t="s">
        <v>8</v>
      </c>
      <c r="H7" s="48" t="s">
        <v>9</v>
      </c>
      <c r="I7" s="48" t="s">
        <v>3</v>
      </c>
      <c r="J7" s="75" t="s">
        <v>15</v>
      </c>
      <c r="K7" s="75" t="s">
        <v>16</v>
      </c>
      <c r="L7" s="48" t="s">
        <v>11</v>
      </c>
      <c r="M7" s="48" t="s">
        <v>12</v>
      </c>
      <c r="N7" s="197"/>
      <c r="O7" s="48" t="s">
        <v>239</v>
      </c>
      <c r="P7" s="48" t="s">
        <v>240</v>
      </c>
      <c r="Q7" s="48" t="s">
        <v>241</v>
      </c>
      <c r="R7" s="48" t="s">
        <v>239</v>
      </c>
      <c r="S7" s="48" t="s">
        <v>240</v>
      </c>
      <c r="T7" s="48" t="s">
        <v>241</v>
      </c>
      <c r="U7" s="48" t="s">
        <v>239</v>
      </c>
      <c r="V7" s="48" t="s">
        <v>240</v>
      </c>
      <c r="W7" s="48" t="s">
        <v>241</v>
      </c>
      <c r="X7" s="39"/>
    </row>
    <row r="8" spans="1:24" s="41" customFormat="1" ht="19.5" customHeight="1">
      <c r="A8" s="39" t="s">
        <v>4</v>
      </c>
      <c r="B8" s="76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75" t="s">
        <v>4</v>
      </c>
      <c r="K8" s="75" t="s">
        <v>238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39"/>
    </row>
    <row r="9" spans="1:28" s="143" customFormat="1" ht="40.5" customHeight="1">
      <c r="A9" s="140" t="s">
        <v>5</v>
      </c>
      <c r="B9" s="191"/>
      <c r="C9" s="192" t="s">
        <v>217</v>
      </c>
      <c r="D9" s="177" t="s">
        <v>19</v>
      </c>
      <c r="E9" s="177" t="s">
        <v>19</v>
      </c>
      <c r="F9" s="177" t="s">
        <v>19</v>
      </c>
      <c r="G9" s="177" t="s">
        <v>19</v>
      </c>
      <c r="H9" s="177" t="s">
        <v>19</v>
      </c>
      <c r="I9" s="177" t="s">
        <v>19</v>
      </c>
      <c r="J9" s="181" t="s">
        <v>19</v>
      </c>
      <c r="K9" s="181" t="s">
        <v>19</v>
      </c>
      <c r="L9" s="185">
        <f>L11</f>
        <v>212000.8</v>
      </c>
      <c r="M9" s="185">
        <f>M11</f>
        <v>187079.80000000002</v>
      </c>
      <c r="N9" s="185">
        <f>N11</f>
        <v>321374.6000000001</v>
      </c>
      <c r="O9" s="185">
        <f>P9+Q9</f>
        <v>173591.5</v>
      </c>
      <c r="P9" s="185">
        <f>P11</f>
        <v>173591.5</v>
      </c>
      <c r="Q9" s="185">
        <f>Q11</f>
        <v>0</v>
      </c>
      <c r="R9" s="185">
        <f>S9+T9</f>
        <v>157310.30000000002</v>
      </c>
      <c r="S9" s="185">
        <f>S11</f>
        <v>157310.30000000002</v>
      </c>
      <c r="T9" s="185">
        <f>T11</f>
        <v>0</v>
      </c>
      <c r="U9" s="185">
        <f>V9+W9</f>
        <v>170946.89999999997</v>
      </c>
      <c r="V9" s="185">
        <f>V11</f>
        <v>170946.89999999997</v>
      </c>
      <c r="W9" s="185">
        <f>W11</f>
        <v>0</v>
      </c>
      <c r="X9" s="140"/>
      <c r="Y9" s="142"/>
      <c r="Z9" s="142"/>
      <c r="AA9" s="142"/>
      <c r="AB9" s="142"/>
    </row>
    <row r="10" spans="1:33" s="143" customFormat="1" ht="61.5" customHeight="1">
      <c r="A10" s="140" t="s">
        <v>6</v>
      </c>
      <c r="B10" s="191"/>
      <c r="C10" s="193"/>
      <c r="D10" s="178"/>
      <c r="E10" s="178"/>
      <c r="F10" s="178"/>
      <c r="G10" s="178"/>
      <c r="H10" s="178"/>
      <c r="I10" s="178"/>
      <c r="J10" s="182"/>
      <c r="K10" s="182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40"/>
      <c r="Y10" s="142"/>
      <c r="Z10" s="142"/>
      <c r="AA10" s="142"/>
      <c r="AB10" s="142"/>
      <c r="AC10" s="142"/>
      <c r="AD10" s="142"/>
      <c r="AE10" s="142"/>
      <c r="AF10" s="142"/>
      <c r="AG10" s="142">
        <f>Z9</f>
        <v>0</v>
      </c>
    </row>
    <row r="11" spans="1:30" s="41" customFormat="1" ht="53.25" customHeight="1">
      <c r="A11" s="39"/>
      <c r="B11" s="77"/>
      <c r="C11" s="71" t="s">
        <v>218</v>
      </c>
      <c r="D11" s="78" t="s">
        <v>19</v>
      </c>
      <c r="E11" s="78" t="s">
        <v>19</v>
      </c>
      <c r="F11" s="78" t="s">
        <v>19</v>
      </c>
      <c r="G11" s="78" t="s">
        <v>19</v>
      </c>
      <c r="H11" s="78" t="s">
        <v>19</v>
      </c>
      <c r="I11" s="78" t="s">
        <v>19</v>
      </c>
      <c r="J11" s="79" t="s">
        <v>19</v>
      </c>
      <c r="K11" s="79" t="s">
        <v>19</v>
      </c>
      <c r="L11" s="84">
        <f>SUM(L12:L35)</f>
        <v>212000.8</v>
      </c>
      <c r="M11" s="84">
        <f aca="true" t="shared" si="0" ref="M11:W11">SUM(M12:M35)</f>
        <v>187079.80000000002</v>
      </c>
      <c r="N11" s="84">
        <f t="shared" si="0"/>
        <v>321374.6000000001</v>
      </c>
      <c r="O11" s="84">
        <f t="shared" si="0"/>
        <v>173591.5</v>
      </c>
      <c r="P11" s="84">
        <f t="shared" si="0"/>
        <v>173591.5</v>
      </c>
      <c r="Q11" s="84">
        <f t="shared" si="0"/>
        <v>0</v>
      </c>
      <c r="R11" s="84">
        <f t="shared" si="0"/>
        <v>157310.30000000002</v>
      </c>
      <c r="S11" s="84">
        <f t="shared" si="0"/>
        <v>157310.30000000002</v>
      </c>
      <c r="T11" s="84">
        <f t="shared" si="0"/>
        <v>0</v>
      </c>
      <c r="U11" s="84">
        <f t="shared" si="0"/>
        <v>170946.89999999997</v>
      </c>
      <c r="V11" s="84">
        <f t="shared" si="0"/>
        <v>170946.89999999997</v>
      </c>
      <c r="W11" s="84">
        <f t="shared" si="0"/>
        <v>0</v>
      </c>
      <c r="X11" s="39"/>
      <c r="Y11" s="40"/>
      <c r="Z11" s="40"/>
      <c r="AA11" s="40"/>
      <c r="AB11" s="40"/>
      <c r="AC11" s="40"/>
      <c r="AD11" s="40"/>
    </row>
    <row r="12" spans="1:30" s="41" customFormat="1" ht="112.5" customHeight="1">
      <c r="A12" s="39"/>
      <c r="B12" s="77"/>
      <c r="C12" s="72" t="s">
        <v>328</v>
      </c>
      <c r="D12" s="80" t="s">
        <v>32</v>
      </c>
      <c r="E12" s="80" t="s">
        <v>329</v>
      </c>
      <c r="F12" s="80" t="s">
        <v>330</v>
      </c>
      <c r="G12" s="81" t="s">
        <v>33</v>
      </c>
      <c r="H12" s="81" t="s">
        <v>331</v>
      </c>
      <c r="I12" s="81" t="s">
        <v>34</v>
      </c>
      <c r="J12" s="82" t="s">
        <v>369</v>
      </c>
      <c r="K12" s="82" t="s">
        <v>370</v>
      </c>
      <c r="L12" s="83">
        <f>7676.4+988.3</f>
        <v>8664.699999999999</v>
      </c>
      <c r="M12" s="84">
        <f>7663.3+980.4</f>
        <v>8643.7</v>
      </c>
      <c r="N12" s="85">
        <f>7651.2+1004.1+386.9</f>
        <v>9042.199999999999</v>
      </c>
      <c r="O12" s="85">
        <f aca="true" t="shared" si="1" ref="O12:O19">P12+Q12</f>
        <v>10023.699999999999</v>
      </c>
      <c r="P12" s="85">
        <f>8053.9+1060.5+909.3</f>
        <v>10023.699999999999</v>
      </c>
      <c r="Q12" s="85">
        <v>0</v>
      </c>
      <c r="R12" s="85">
        <f aca="true" t="shared" si="2" ref="R12:R19">S12+T12</f>
        <v>10009.699999999999</v>
      </c>
      <c r="S12" s="85">
        <f>8039.9+1060.5+909.3</f>
        <v>10009.699999999999</v>
      </c>
      <c r="T12" s="85">
        <v>0</v>
      </c>
      <c r="U12" s="85">
        <f aca="true" t="shared" si="3" ref="U12:U19">V12+W12</f>
        <v>10031.699999999999</v>
      </c>
      <c r="V12" s="85">
        <f>8061.9+1060.5+909.3</f>
        <v>10031.699999999999</v>
      </c>
      <c r="W12" s="85">
        <v>0</v>
      </c>
      <c r="X12" s="39"/>
      <c r="Y12" s="40"/>
      <c r="Z12" s="40"/>
      <c r="AA12" s="40"/>
      <c r="AB12" s="40"/>
      <c r="AC12" s="40"/>
      <c r="AD12" s="40"/>
    </row>
    <row r="13" spans="1:30" s="41" customFormat="1" ht="72.75" customHeight="1">
      <c r="A13" s="39"/>
      <c r="B13" s="77"/>
      <c r="C13" s="73" t="s">
        <v>333</v>
      </c>
      <c r="D13" s="80" t="s">
        <v>35</v>
      </c>
      <c r="E13" s="80" t="s">
        <v>334</v>
      </c>
      <c r="F13" s="80" t="s">
        <v>335</v>
      </c>
      <c r="G13" s="81" t="s">
        <v>33</v>
      </c>
      <c r="H13" s="81" t="s">
        <v>331</v>
      </c>
      <c r="I13" s="81" t="s">
        <v>34</v>
      </c>
      <c r="J13" s="82" t="s">
        <v>21</v>
      </c>
      <c r="K13" s="82" t="s">
        <v>332</v>
      </c>
      <c r="L13" s="83">
        <v>1005.7</v>
      </c>
      <c r="M13" s="84">
        <v>1005.7</v>
      </c>
      <c r="N13" s="85">
        <v>997.1</v>
      </c>
      <c r="O13" s="85">
        <f t="shared" si="1"/>
        <v>1054.8</v>
      </c>
      <c r="P13" s="85">
        <v>1054.8</v>
      </c>
      <c r="Q13" s="85">
        <v>0</v>
      </c>
      <c r="R13" s="85">
        <f t="shared" si="2"/>
        <v>1054.8</v>
      </c>
      <c r="S13" s="85">
        <v>1054.8</v>
      </c>
      <c r="T13" s="85">
        <v>0</v>
      </c>
      <c r="U13" s="85">
        <f t="shared" si="3"/>
        <v>1054.8</v>
      </c>
      <c r="V13" s="85">
        <v>1054.8</v>
      </c>
      <c r="W13" s="85">
        <v>0</v>
      </c>
      <c r="X13" s="39"/>
      <c r="Y13" s="40"/>
      <c r="Z13" s="40"/>
      <c r="AA13" s="40"/>
      <c r="AB13" s="40"/>
      <c r="AC13" s="40"/>
      <c r="AD13" s="40"/>
    </row>
    <row r="14" spans="1:30" s="41" customFormat="1" ht="114.75">
      <c r="A14" s="39"/>
      <c r="B14" s="57"/>
      <c r="C14" s="51" t="s">
        <v>219</v>
      </c>
      <c r="D14" s="86" t="s">
        <v>103</v>
      </c>
      <c r="E14" s="86" t="s">
        <v>104</v>
      </c>
      <c r="F14" s="86" t="s">
        <v>274</v>
      </c>
      <c r="G14" s="87" t="s">
        <v>105</v>
      </c>
      <c r="H14" s="87" t="s">
        <v>106</v>
      </c>
      <c r="I14" s="87" t="s">
        <v>107</v>
      </c>
      <c r="J14" s="88" t="s">
        <v>323</v>
      </c>
      <c r="K14" s="88" t="s">
        <v>322</v>
      </c>
      <c r="L14" s="84">
        <f>247+45</f>
        <v>292</v>
      </c>
      <c r="M14" s="84">
        <v>233.5</v>
      </c>
      <c r="N14" s="84">
        <f>85+99.5+37.8+120</f>
        <v>342.3</v>
      </c>
      <c r="O14" s="99">
        <f t="shared" si="1"/>
        <v>222.3</v>
      </c>
      <c r="P14" s="84">
        <v>222.3</v>
      </c>
      <c r="Q14" s="84"/>
      <c r="R14" s="99">
        <f t="shared" si="2"/>
        <v>222.3</v>
      </c>
      <c r="S14" s="84">
        <v>222.3</v>
      </c>
      <c r="T14" s="84"/>
      <c r="U14" s="99">
        <f t="shared" si="3"/>
        <v>222.3</v>
      </c>
      <c r="V14" s="84">
        <v>222.3</v>
      </c>
      <c r="W14" s="84"/>
      <c r="X14" s="39"/>
      <c r="Y14" s="40"/>
      <c r="Z14" s="40"/>
      <c r="AA14" s="40"/>
      <c r="AB14" s="40"/>
      <c r="AC14" s="40"/>
      <c r="AD14" s="40"/>
    </row>
    <row r="15" spans="1:30" s="41" customFormat="1" ht="211.5" customHeight="1">
      <c r="A15" s="39"/>
      <c r="B15" s="57"/>
      <c r="C15" s="51" t="s">
        <v>220</v>
      </c>
      <c r="D15" s="86" t="s">
        <v>155</v>
      </c>
      <c r="E15" s="86" t="s">
        <v>156</v>
      </c>
      <c r="F15" s="86" t="s">
        <v>273</v>
      </c>
      <c r="G15" s="86" t="s">
        <v>157</v>
      </c>
      <c r="H15" s="86" t="s">
        <v>158</v>
      </c>
      <c r="I15" s="86" t="s">
        <v>159</v>
      </c>
      <c r="J15" s="88" t="s">
        <v>293</v>
      </c>
      <c r="K15" s="88" t="s">
        <v>294</v>
      </c>
      <c r="L15" s="84">
        <f>1524+2459.6+80+821.7+263.7</f>
        <v>5149</v>
      </c>
      <c r="M15" s="84">
        <v>4877.7</v>
      </c>
      <c r="N15" s="84">
        <f>22205+1158.5-3099.5+20</f>
        <v>20284</v>
      </c>
      <c r="O15" s="99">
        <f t="shared" si="1"/>
        <v>487</v>
      </c>
      <c r="P15" s="84">
        <v>487</v>
      </c>
      <c r="Q15" s="84"/>
      <c r="R15" s="99">
        <f t="shared" si="2"/>
        <v>0</v>
      </c>
      <c r="S15" s="84"/>
      <c r="T15" s="84"/>
      <c r="U15" s="99">
        <f t="shared" si="3"/>
        <v>0</v>
      </c>
      <c r="V15" s="84"/>
      <c r="W15" s="84"/>
      <c r="X15" s="39"/>
      <c r="Y15" s="40"/>
      <c r="Z15" s="40"/>
      <c r="AA15" s="40"/>
      <c r="AB15" s="40"/>
      <c r="AC15" s="40"/>
      <c r="AD15" s="40"/>
    </row>
    <row r="16" spans="1:30" s="41" customFormat="1" ht="228" customHeight="1">
      <c r="A16" s="39"/>
      <c r="B16" s="57"/>
      <c r="C16" s="51" t="s">
        <v>221</v>
      </c>
      <c r="D16" s="86" t="s">
        <v>135</v>
      </c>
      <c r="E16" s="86" t="s">
        <v>136</v>
      </c>
      <c r="F16" s="86" t="s">
        <v>137</v>
      </c>
      <c r="G16" s="86" t="s">
        <v>138</v>
      </c>
      <c r="H16" s="86" t="s">
        <v>139</v>
      </c>
      <c r="I16" s="86" t="s">
        <v>192</v>
      </c>
      <c r="J16" s="88" t="s">
        <v>22</v>
      </c>
      <c r="K16" s="88" t="s">
        <v>140</v>
      </c>
      <c r="L16" s="84">
        <f>7008.4-30</f>
        <v>6978.4</v>
      </c>
      <c r="M16" s="84">
        <v>6176</v>
      </c>
      <c r="N16" s="84">
        <f>4264.9</f>
        <v>4264.9</v>
      </c>
      <c r="O16" s="99">
        <f t="shared" si="1"/>
        <v>3673.9</v>
      </c>
      <c r="P16" s="84">
        <v>3673.9</v>
      </c>
      <c r="Q16" s="84"/>
      <c r="R16" s="99">
        <f t="shared" si="2"/>
        <v>3673.9</v>
      </c>
      <c r="S16" s="84">
        <v>3673.9</v>
      </c>
      <c r="T16" s="84"/>
      <c r="U16" s="99">
        <f t="shared" si="3"/>
        <v>3673.9</v>
      </c>
      <c r="V16" s="84">
        <v>3673.9</v>
      </c>
      <c r="W16" s="84"/>
      <c r="X16" s="39"/>
      <c r="Y16" s="40"/>
      <c r="Z16" s="40"/>
      <c r="AA16" s="40"/>
      <c r="AB16" s="40"/>
      <c r="AC16" s="40"/>
      <c r="AD16" s="40"/>
    </row>
    <row r="17" spans="1:30" s="41" customFormat="1" ht="54" customHeight="1">
      <c r="A17" s="39"/>
      <c r="B17" s="57"/>
      <c r="C17" s="144" t="s">
        <v>413</v>
      </c>
      <c r="D17" s="145" t="s">
        <v>35</v>
      </c>
      <c r="E17" s="145" t="s">
        <v>334</v>
      </c>
      <c r="F17" s="145" t="s">
        <v>268</v>
      </c>
      <c r="G17" s="146" t="s">
        <v>414</v>
      </c>
      <c r="H17" s="146" t="s">
        <v>415</v>
      </c>
      <c r="I17" s="130" t="s">
        <v>416</v>
      </c>
      <c r="J17" s="129" t="s">
        <v>206</v>
      </c>
      <c r="K17" s="130" t="s">
        <v>284</v>
      </c>
      <c r="L17" s="160">
        <v>1</v>
      </c>
      <c r="M17" s="160">
        <v>1</v>
      </c>
      <c r="N17" s="161">
        <v>1</v>
      </c>
      <c r="O17" s="161">
        <v>1</v>
      </c>
      <c r="P17" s="161">
        <v>1</v>
      </c>
      <c r="Q17" s="161">
        <v>0</v>
      </c>
      <c r="R17" s="161">
        <v>1</v>
      </c>
      <c r="S17" s="161">
        <v>1</v>
      </c>
      <c r="T17" s="161">
        <v>0</v>
      </c>
      <c r="U17" s="161">
        <v>1</v>
      </c>
      <c r="V17" s="161">
        <v>1</v>
      </c>
      <c r="W17" s="161">
        <v>0</v>
      </c>
      <c r="X17" s="39"/>
      <c r="Y17" s="40"/>
      <c r="Z17" s="40"/>
      <c r="AA17" s="40"/>
      <c r="AB17" s="40"/>
      <c r="AC17" s="40"/>
      <c r="AD17" s="40"/>
    </row>
    <row r="18" spans="1:30" s="41" customFormat="1" ht="182.25" customHeight="1">
      <c r="A18" s="39"/>
      <c r="B18" s="57"/>
      <c r="C18" s="51" t="s">
        <v>222</v>
      </c>
      <c r="D18" s="86" t="s">
        <v>26</v>
      </c>
      <c r="E18" s="86" t="s">
        <v>27</v>
      </c>
      <c r="F18" s="86" t="s">
        <v>28</v>
      </c>
      <c r="G18" s="86" t="s">
        <v>29</v>
      </c>
      <c r="H18" s="86" t="s">
        <v>30</v>
      </c>
      <c r="I18" s="86" t="s">
        <v>31</v>
      </c>
      <c r="J18" s="88" t="s">
        <v>336</v>
      </c>
      <c r="K18" s="88" t="s">
        <v>337</v>
      </c>
      <c r="L18" s="84">
        <f>3265.1-115-5+6380.9</f>
        <v>9526</v>
      </c>
      <c r="M18" s="84">
        <v>2568.8</v>
      </c>
      <c r="N18" s="84">
        <f>564.4-444.4+420+430.1+48+39+6883.7</f>
        <v>7940.799999999999</v>
      </c>
      <c r="O18" s="99">
        <f t="shared" si="1"/>
        <v>8453.3</v>
      </c>
      <c r="P18" s="84">
        <f>1521.6+6931.7</f>
        <v>8453.3</v>
      </c>
      <c r="Q18" s="84"/>
      <c r="R18" s="99">
        <f t="shared" si="2"/>
        <v>7090.5</v>
      </c>
      <c r="S18" s="84">
        <f>1521.6+5568.9</f>
        <v>7090.5</v>
      </c>
      <c r="T18" s="84"/>
      <c r="U18" s="99">
        <f t="shared" si="3"/>
        <v>15381.4</v>
      </c>
      <c r="V18" s="84">
        <f>1521.6+13859.8</f>
        <v>15381.4</v>
      </c>
      <c r="W18" s="84"/>
      <c r="X18" s="39"/>
      <c r="Y18" s="40"/>
      <c r="Z18" s="40"/>
      <c r="AA18" s="40"/>
      <c r="AB18" s="40"/>
      <c r="AC18" s="40"/>
      <c r="AD18" s="40"/>
    </row>
    <row r="19" spans="1:30" s="41" customFormat="1" ht="174" customHeight="1">
      <c r="A19" s="39"/>
      <c r="B19" s="57"/>
      <c r="C19" s="51" t="s">
        <v>223</v>
      </c>
      <c r="D19" s="86" t="s">
        <v>147</v>
      </c>
      <c r="E19" s="86" t="s">
        <v>148</v>
      </c>
      <c r="F19" s="86" t="s">
        <v>149</v>
      </c>
      <c r="G19" s="86" t="s">
        <v>150</v>
      </c>
      <c r="H19" s="86" t="s">
        <v>151</v>
      </c>
      <c r="I19" s="86" t="s">
        <v>152</v>
      </c>
      <c r="J19" s="88" t="s">
        <v>288</v>
      </c>
      <c r="K19" s="88" t="s">
        <v>289</v>
      </c>
      <c r="L19" s="84">
        <f>1852.6-80-180.7</f>
        <v>1591.8999999999999</v>
      </c>
      <c r="M19" s="84">
        <v>431.6</v>
      </c>
      <c r="N19" s="84">
        <f>20.3+1160.2</f>
        <v>1180.5</v>
      </c>
      <c r="O19" s="99">
        <f t="shared" si="1"/>
        <v>1180.6</v>
      </c>
      <c r="P19" s="84">
        <v>1180.6</v>
      </c>
      <c r="Q19" s="84"/>
      <c r="R19" s="99">
        <f t="shared" si="2"/>
        <v>20.299999999999955</v>
      </c>
      <c r="S19" s="84">
        <f>1180.6-1160.3</f>
        <v>20.299999999999955</v>
      </c>
      <c r="T19" s="84"/>
      <c r="U19" s="99">
        <f t="shared" si="3"/>
        <v>20.299999999999955</v>
      </c>
      <c r="V19" s="84">
        <f>1180.6-1160.3</f>
        <v>20.299999999999955</v>
      </c>
      <c r="W19" s="84"/>
      <c r="X19" s="39"/>
      <c r="Y19" s="40"/>
      <c r="Z19" s="40"/>
      <c r="AA19" s="40"/>
      <c r="AB19" s="40"/>
      <c r="AC19" s="40"/>
      <c r="AD19" s="40"/>
    </row>
    <row r="20" spans="1:30" s="41" customFormat="1" ht="282" customHeight="1">
      <c r="A20" s="39"/>
      <c r="B20" s="57"/>
      <c r="C20" s="51" t="s">
        <v>352</v>
      </c>
      <c r="D20" s="145" t="s">
        <v>422</v>
      </c>
      <c r="E20" s="145" t="s">
        <v>423</v>
      </c>
      <c r="F20" s="145" t="s">
        <v>424</v>
      </c>
      <c r="G20" s="148" t="s">
        <v>419</v>
      </c>
      <c r="H20" s="145" t="s">
        <v>420</v>
      </c>
      <c r="I20" s="145" t="s">
        <v>421</v>
      </c>
      <c r="J20" s="147" t="s">
        <v>417</v>
      </c>
      <c r="K20" s="147" t="s">
        <v>418</v>
      </c>
      <c r="L20" s="84">
        <f>6827.6+11627.1+61118.2</f>
        <v>79572.9</v>
      </c>
      <c r="M20" s="84">
        <f>6820.6+7427.1+60308.7</f>
        <v>74556.4</v>
      </c>
      <c r="N20" s="84">
        <f>6196.8+8423.7+65923.5</f>
        <v>80544</v>
      </c>
      <c r="O20" s="99">
        <f>P20</f>
        <v>87447.7</v>
      </c>
      <c r="P20" s="84">
        <f>10838.3+7249+69360.4</f>
        <v>87447.7</v>
      </c>
      <c r="Q20" s="84">
        <v>0</v>
      </c>
      <c r="R20" s="99">
        <f>S20</f>
        <v>73614.8</v>
      </c>
      <c r="S20" s="84">
        <f>5447.7+3049+65118.1</f>
        <v>73614.8</v>
      </c>
      <c r="T20" s="84">
        <v>0</v>
      </c>
      <c r="U20" s="99">
        <f>V20</f>
        <v>75476.4</v>
      </c>
      <c r="V20" s="84">
        <f>5447.7+3049+66979.7</f>
        <v>75476.4</v>
      </c>
      <c r="W20" s="84"/>
      <c r="X20" s="39"/>
      <c r="Y20" s="40"/>
      <c r="Z20" s="40"/>
      <c r="AA20" s="40"/>
      <c r="AB20" s="40"/>
      <c r="AC20" s="40"/>
      <c r="AD20" s="40"/>
    </row>
    <row r="21" spans="1:30" s="41" customFormat="1" ht="168.75" customHeight="1">
      <c r="A21" s="39"/>
      <c r="B21" s="57"/>
      <c r="C21" s="54" t="s">
        <v>254</v>
      </c>
      <c r="D21" s="86" t="s">
        <v>275</v>
      </c>
      <c r="E21" s="86" t="s">
        <v>277</v>
      </c>
      <c r="F21" s="86" t="s">
        <v>276</v>
      </c>
      <c r="G21" s="86"/>
      <c r="H21" s="86"/>
      <c r="I21" s="86"/>
      <c r="J21" s="88" t="s">
        <v>23</v>
      </c>
      <c r="K21" s="88" t="s">
        <v>110</v>
      </c>
      <c r="L21" s="84">
        <f>619.8+1759.5-339.5</f>
        <v>2039.8000000000002</v>
      </c>
      <c r="M21" s="84">
        <v>1808.2</v>
      </c>
      <c r="N21" s="84"/>
      <c r="O21" s="99">
        <f>P21</f>
        <v>3842.7</v>
      </c>
      <c r="P21" s="84">
        <v>3842.7</v>
      </c>
      <c r="Q21" s="84"/>
      <c r="R21" s="99">
        <f>S21</f>
        <v>4286.099999999999</v>
      </c>
      <c r="S21" s="84">
        <f>3842.7+443.4</f>
        <v>4286.099999999999</v>
      </c>
      <c r="T21" s="84"/>
      <c r="U21" s="99">
        <f>V21</f>
        <v>7856.9</v>
      </c>
      <c r="V21" s="84">
        <f>3842.7+443.4+3570.8</f>
        <v>7856.9</v>
      </c>
      <c r="W21" s="84"/>
      <c r="X21" s="39"/>
      <c r="Y21" s="40"/>
      <c r="Z21" s="40"/>
      <c r="AA21" s="40"/>
      <c r="AB21" s="40"/>
      <c r="AC21" s="40"/>
      <c r="AD21" s="40"/>
    </row>
    <row r="22" spans="1:30" s="41" customFormat="1" ht="116.25" customHeight="1">
      <c r="A22" s="39"/>
      <c r="B22" s="57"/>
      <c r="C22" s="51" t="s">
        <v>224</v>
      </c>
      <c r="D22" s="86" t="s">
        <v>185</v>
      </c>
      <c r="E22" s="86" t="s">
        <v>186</v>
      </c>
      <c r="F22" s="86" t="s">
        <v>272</v>
      </c>
      <c r="G22" s="86" t="s">
        <v>187</v>
      </c>
      <c r="H22" s="86" t="s">
        <v>188</v>
      </c>
      <c r="I22" s="86" t="s">
        <v>189</v>
      </c>
      <c r="J22" s="88" t="s">
        <v>250</v>
      </c>
      <c r="K22" s="88" t="s">
        <v>251</v>
      </c>
      <c r="L22" s="84">
        <v>578.8</v>
      </c>
      <c r="M22" s="84">
        <v>578.5</v>
      </c>
      <c r="N22" s="84">
        <f>601.1-0.4</f>
        <v>600.7</v>
      </c>
      <c r="O22" s="99">
        <f>P22+Q22</f>
        <v>602.2</v>
      </c>
      <c r="P22" s="84">
        <v>602.2</v>
      </c>
      <c r="Q22" s="84"/>
      <c r="R22" s="99">
        <f>S22+T22</f>
        <v>602.2</v>
      </c>
      <c r="S22" s="84">
        <v>602.2</v>
      </c>
      <c r="T22" s="84"/>
      <c r="U22" s="99">
        <f>V22+W22</f>
        <v>602.2</v>
      </c>
      <c r="V22" s="84">
        <v>602.2</v>
      </c>
      <c r="W22" s="84"/>
      <c r="X22" s="39"/>
      <c r="Y22" s="40"/>
      <c r="Z22" s="40"/>
      <c r="AA22" s="40"/>
      <c r="AB22" s="40"/>
      <c r="AC22" s="40"/>
      <c r="AD22" s="40"/>
    </row>
    <row r="23" spans="1:30" s="41" customFormat="1" ht="116.25" customHeight="1">
      <c r="A23" s="39"/>
      <c r="B23" s="57"/>
      <c r="C23" s="51" t="s">
        <v>246</v>
      </c>
      <c r="D23" s="86" t="s">
        <v>35</v>
      </c>
      <c r="E23" s="86" t="s">
        <v>145</v>
      </c>
      <c r="F23" s="86" t="s">
        <v>268</v>
      </c>
      <c r="G23" s="89" t="s">
        <v>196</v>
      </c>
      <c r="H23" s="78" t="s">
        <v>197</v>
      </c>
      <c r="I23" s="90" t="s">
        <v>198</v>
      </c>
      <c r="J23" s="88" t="s">
        <v>307</v>
      </c>
      <c r="K23" s="88" t="s">
        <v>425</v>
      </c>
      <c r="L23" s="84">
        <f>613+91+900+135.3</f>
        <v>1739.3</v>
      </c>
      <c r="M23" s="84">
        <f>613+91+900+135.3</f>
        <v>1739.3</v>
      </c>
      <c r="N23" s="84">
        <f>348+153.2-20.8</f>
        <v>480.4</v>
      </c>
      <c r="O23" s="99">
        <f>P23+Q23</f>
        <v>0</v>
      </c>
      <c r="P23" s="84"/>
      <c r="Q23" s="84"/>
      <c r="R23" s="99">
        <f>S23+T23</f>
        <v>0</v>
      </c>
      <c r="S23" s="84"/>
      <c r="T23" s="84"/>
      <c r="U23" s="99">
        <f>V23+W23</f>
        <v>0</v>
      </c>
      <c r="V23" s="84"/>
      <c r="W23" s="84"/>
      <c r="X23" s="39"/>
      <c r="Y23" s="40"/>
      <c r="Z23" s="40"/>
      <c r="AA23" s="40"/>
      <c r="AB23" s="40"/>
      <c r="AC23" s="40"/>
      <c r="AD23" s="40"/>
    </row>
    <row r="24" spans="1:30" s="41" customFormat="1" ht="74.25" customHeight="1">
      <c r="A24" s="39"/>
      <c r="B24" s="57"/>
      <c r="C24" s="51" t="s">
        <v>354</v>
      </c>
      <c r="D24" s="163" t="s">
        <v>356</v>
      </c>
      <c r="E24" s="49" t="s">
        <v>355</v>
      </c>
      <c r="F24" s="55">
        <v>34697</v>
      </c>
      <c r="G24" s="49"/>
      <c r="H24" s="49"/>
      <c r="I24" s="55"/>
      <c r="J24" s="50" t="s">
        <v>140</v>
      </c>
      <c r="K24" s="50" t="s">
        <v>21</v>
      </c>
      <c r="L24" s="2">
        <v>11680.6</v>
      </c>
      <c r="M24" s="2">
        <v>11680.6</v>
      </c>
      <c r="N24" s="2">
        <v>11320.2</v>
      </c>
      <c r="O24" s="121">
        <v>11537.1</v>
      </c>
      <c r="P24" s="2">
        <f>O24</f>
        <v>11537.1</v>
      </c>
      <c r="Q24" s="2"/>
      <c r="R24" s="121">
        <v>11537.1</v>
      </c>
      <c r="S24" s="2">
        <f>R24</f>
        <v>11537.1</v>
      </c>
      <c r="T24" s="2"/>
      <c r="U24" s="121">
        <v>11537.1</v>
      </c>
      <c r="V24" s="2">
        <f>U24</f>
        <v>11537.1</v>
      </c>
      <c r="W24" s="2"/>
      <c r="X24" s="39"/>
      <c r="Y24" s="40"/>
      <c r="Z24" s="40"/>
      <c r="AA24" s="40"/>
      <c r="AB24" s="40"/>
      <c r="AC24" s="40"/>
      <c r="AD24" s="40"/>
    </row>
    <row r="25" spans="1:30" s="41" customFormat="1" ht="76.5" customHeight="1">
      <c r="A25" s="39"/>
      <c r="B25" s="57"/>
      <c r="C25" s="166" t="s">
        <v>357</v>
      </c>
      <c r="D25" s="168" t="s">
        <v>35</v>
      </c>
      <c r="E25" s="168" t="s">
        <v>358</v>
      </c>
      <c r="F25" s="170">
        <v>37900</v>
      </c>
      <c r="G25" s="168"/>
      <c r="H25" s="168"/>
      <c r="I25" s="170"/>
      <c r="J25" s="173" t="s">
        <v>359</v>
      </c>
      <c r="K25" s="173" t="s">
        <v>360</v>
      </c>
      <c r="L25" s="164">
        <v>27890.5</v>
      </c>
      <c r="M25" s="164">
        <v>27700.2</v>
      </c>
      <c r="N25" s="164">
        <v>142291.7</v>
      </c>
      <c r="O25" s="164">
        <v>25784.2</v>
      </c>
      <c r="P25" s="164">
        <f>O25</f>
        <v>25784.2</v>
      </c>
      <c r="Q25" s="164">
        <v>0</v>
      </c>
      <c r="R25" s="164">
        <v>25922.7</v>
      </c>
      <c r="S25" s="164">
        <f>R25</f>
        <v>25922.7</v>
      </c>
      <c r="T25" s="164">
        <v>0</v>
      </c>
      <c r="U25" s="164">
        <v>25952.7</v>
      </c>
      <c r="V25" s="164">
        <f>U25</f>
        <v>25952.7</v>
      </c>
      <c r="W25" s="164">
        <v>0</v>
      </c>
      <c r="X25" s="39"/>
      <c r="Y25" s="40"/>
      <c r="Z25" s="40"/>
      <c r="AA25" s="40"/>
      <c r="AB25" s="40"/>
      <c r="AC25" s="40"/>
      <c r="AD25" s="40"/>
    </row>
    <row r="26" spans="1:30" s="41" customFormat="1" ht="81" customHeight="1" hidden="1">
      <c r="A26" s="39"/>
      <c r="B26" s="57"/>
      <c r="C26" s="167"/>
      <c r="D26" s="169"/>
      <c r="E26" s="169"/>
      <c r="F26" s="169"/>
      <c r="G26" s="169"/>
      <c r="H26" s="169"/>
      <c r="I26" s="169"/>
      <c r="J26" s="174"/>
      <c r="K26" s="174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39"/>
      <c r="Y26" s="40"/>
      <c r="Z26" s="40"/>
      <c r="AA26" s="40"/>
      <c r="AB26" s="40"/>
      <c r="AC26" s="40"/>
      <c r="AD26" s="40"/>
    </row>
    <row r="27" spans="1:30" s="115" customFormat="1" ht="215.25" customHeight="1">
      <c r="A27" s="112"/>
      <c r="B27" s="113"/>
      <c r="C27" s="51" t="s">
        <v>225</v>
      </c>
      <c r="D27" s="52" t="s">
        <v>207</v>
      </c>
      <c r="E27" s="52" t="s">
        <v>373</v>
      </c>
      <c r="F27" s="52" t="s">
        <v>271</v>
      </c>
      <c r="G27" s="52" t="s">
        <v>374</v>
      </c>
      <c r="H27" s="52" t="s">
        <v>460</v>
      </c>
      <c r="I27" s="52" t="s">
        <v>461</v>
      </c>
      <c r="J27" s="53" t="s">
        <v>371</v>
      </c>
      <c r="K27" s="53" t="s">
        <v>372</v>
      </c>
      <c r="L27" s="2">
        <f>1163.6-180+459.5</f>
        <v>1443.1</v>
      </c>
      <c r="M27" s="2">
        <f>813.6+75</f>
        <v>888.6</v>
      </c>
      <c r="N27" s="2">
        <f>1220.8-343.8+452</f>
        <v>1329</v>
      </c>
      <c r="O27" s="121">
        <f>P27+Q27</f>
        <v>1440.5</v>
      </c>
      <c r="P27" s="2">
        <f>1210.8+229.7</f>
        <v>1440.5</v>
      </c>
      <c r="Q27" s="2"/>
      <c r="R27" s="121">
        <f>S27+T27</f>
        <v>1386.3999999999999</v>
      </c>
      <c r="S27" s="2">
        <f>1210.8+175.6</f>
        <v>1386.3999999999999</v>
      </c>
      <c r="T27" s="2"/>
      <c r="U27" s="121">
        <f>V27+W27</f>
        <v>1278.3</v>
      </c>
      <c r="V27" s="2">
        <f>1210.8+67.5</f>
        <v>1278.3</v>
      </c>
      <c r="W27" s="2"/>
      <c r="X27" s="112"/>
      <c r="Y27" s="114"/>
      <c r="Z27" s="114"/>
      <c r="AA27" s="114"/>
      <c r="AB27" s="114"/>
      <c r="AC27" s="114"/>
      <c r="AD27" s="114"/>
    </row>
    <row r="28" spans="1:30" s="115" customFormat="1" ht="76.5" customHeight="1">
      <c r="A28" s="112"/>
      <c r="B28" s="113"/>
      <c r="C28" s="54" t="s">
        <v>363</v>
      </c>
      <c r="D28" s="52" t="s">
        <v>35</v>
      </c>
      <c r="E28" s="52" t="s">
        <v>353</v>
      </c>
      <c r="F28" s="52" t="s">
        <v>364</v>
      </c>
      <c r="G28" s="117"/>
      <c r="H28" s="118"/>
      <c r="I28" s="119"/>
      <c r="J28" s="50" t="s">
        <v>365</v>
      </c>
      <c r="K28" s="50" t="s">
        <v>25</v>
      </c>
      <c r="L28" s="2">
        <v>15084.9</v>
      </c>
      <c r="M28" s="2">
        <v>15084.9</v>
      </c>
      <c r="N28" s="2">
        <v>26275.5</v>
      </c>
      <c r="O28" s="121">
        <v>16790.7</v>
      </c>
      <c r="P28" s="2">
        <f>O28</f>
        <v>16790.7</v>
      </c>
      <c r="Q28" s="2"/>
      <c r="R28" s="121">
        <v>16790.7</v>
      </c>
      <c r="S28" s="2">
        <f>R28</f>
        <v>16790.7</v>
      </c>
      <c r="T28" s="2"/>
      <c r="U28" s="121">
        <v>16790.7</v>
      </c>
      <c r="V28" s="2">
        <f>U28</f>
        <v>16790.7</v>
      </c>
      <c r="W28" s="2"/>
      <c r="X28" s="112"/>
      <c r="Y28" s="114"/>
      <c r="Z28" s="114"/>
      <c r="AA28" s="114"/>
      <c r="AB28" s="114"/>
      <c r="AC28" s="114"/>
      <c r="AD28" s="114"/>
    </row>
    <row r="29" spans="1:30" s="41" customFormat="1" ht="159" customHeight="1">
      <c r="A29" s="39"/>
      <c r="B29" s="57"/>
      <c r="C29" s="51" t="s">
        <v>226</v>
      </c>
      <c r="D29" s="86" t="s">
        <v>208</v>
      </c>
      <c r="E29" s="86" t="s">
        <v>209</v>
      </c>
      <c r="F29" s="86" t="s">
        <v>210</v>
      </c>
      <c r="G29" s="86" t="s">
        <v>211</v>
      </c>
      <c r="H29" s="87" t="s">
        <v>212</v>
      </c>
      <c r="I29" s="87" t="s">
        <v>213</v>
      </c>
      <c r="J29" s="91" t="s">
        <v>338</v>
      </c>
      <c r="K29" s="92" t="s">
        <v>339</v>
      </c>
      <c r="L29" s="83">
        <f>15+812.8</f>
        <v>827.8</v>
      </c>
      <c r="M29" s="84">
        <f>9.2+604.8</f>
        <v>614</v>
      </c>
      <c r="N29" s="85">
        <f>10+806.4</f>
        <v>816.4</v>
      </c>
      <c r="O29" s="99">
        <f>P29+Q29</f>
        <v>1046</v>
      </c>
      <c r="P29" s="84">
        <v>1046</v>
      </c>
      <c r="Q29" s="84"/>
      <c r="R29" s="99">
        <f>S29+T29</f>
        <v>1094</v>
      </c>
      <c r="S29" s="84">
        <f>1046+48</f>
        <v>1094</v>
      </c>
      <c r="T29" s="84"/>
      <c r="U29" s="99">
        <f>V29+W29</f>
        <v>1063.4</v>
      </c>
      <c r="V29" s="84">
        <f>1046+48-30.6</f>
        <v>1063.4</v>
      </c>
      <c r="W29" s="84"/>
      <c r="X29" s="39"/>
      <c r="Y29" s="40"/>
      <c r="Z29" s="40"/>
      <c r="AA29" s="40"/>
      <c r="AB29" s="40"/>
      <c r="AC29" s="40"/>
      <c r="AD29" s="40"/>
    </row>
    <row r="30" spans="1:30" s="41" customFormat="1" ht="93" customHeight="1">
      <c r="A30" s="39"/>
      <c r="B30" s="57"/>
      <c r="C30" s="51" t="s">
        <v>317</v>
      </c>
      <c r="D30" s="86" t="s">
        <v>309</v>
      </c>
      <c r="E30" s="86" t="s">
        <v>310</v>
      </c>
      <c r="F30" s="86" t="s">
        <v>311</v>
      </c>
      <c r="G30" s="86" t="s">
        <v>312</v>
      </c>
      <c r="H30" s="86" t="s">
        <v>313</v>
      </c>
      <c r="I30" s="86" t="s">
        <v>314</v>
      </c>
      <c r="J30" s="88" t="s">
        <v>315</v>
      </c>
      <c r="K30" s="88" t="s">
        <v>316</v>
      </c>
      <c r="L30" s="84">
        <v>3000</v>
      </c>
      <c r="M30" s="84">
        <v>3000</v>
      </c>
      <c r="N30" s="84"/>
      <c r="O30" s="99"/>
      <c r="P30" s="84"/>
      <c r="Q30" s="84"/>
      <c r="R30" s="99"/>
      <c r="S30" s="84"/>
      <c r="T30" s="84"/>
      <c r="U30" s="99"/>
      <c r="V30" s="84"/>
      <c r="W30" s="84"/>
      <c r="X30" s="39"/>
      <c r="Y30" s="40"/>
      <c r="Z30" s="40"/>
      <c r="AA30" s="40"/>
      <c r="AB30" s="40"/>
      <c r="AC30" s="40"/>
      <c r="AD30" s="40"/>
    </row>
    <row r="31" spans="1:30" s="41" customFormat="1" ht="154.5" customHeight="1">
      <c r="A31" s="39"/>
      <c r="B31" s="57"/>
      <c r="C31" s="51" t="s">
        <v>283</v>
      </c>
      <c r="D31" s="86" t="s">
        <v>285</v>
      </c>
      <c r="E31" s="86" t="s">
        <v>166</v>
      </c>
      <c r="F31" s="86" t="s">
        <v>286</v>
      </c>
      <c r="G31" s="86"/>
      <c r="H31" s="87"/>
      <c r="I31" s="87"/>
      <c r="J31" s="92" t="s">
        <v>22</v>
      </c>
      <c r="K31" s="92" t="s">
        <v>284</v>
      </c>
      <c r="L31" s="84">
        <f>27144.6+659.3+4459.6+72-27144.6</f>
        <v>5190.9000000000015</v>
      </c>
      <c r="M31" s="84">
        <v>5049.8</v>
      </c>
      <c r="N31" s="84"/>
      <c r="O31" s="99"/>
      <c r="P31" s="84"/>
      <c r="Q31" s="84"/>
      <c r="R31" s="99"/>
      <c r="S31" s="84"/>
      <c r="T31" s="84"/>
      <c r="U31" s="99"/>
      <c r="V31" s="84"/>
      <c r="W31" s="84"/>
      <c r="X31" s="39"/>
      <c r="Y31" s="40"/>
      <c r="Z31" s="40"/>
      <c r="AA31" s="40"/>
      <c r="AB31" s="40"/>
      <c r="AC31" s="40"/>
      <c r="AD31" s="40"/>
    </row>
    <row r="32" spans="1:30" s="41" customFormat="1" ht="111.75" customHeight="1">
      <c r="A32" s="39"/>
      <c r="B32" s="57"/>
      <c r="C32" s="51" t="s">
        <v>279</v>
      </c>
      <c r="D32" s="86"/>
      <c r="E32" s="86"/>
      <c r="F32" s="86"/>
      <c r="G32" s="86" t="s">
        <v>280</v>
      </c>
      <c r="H32" s="87" t="s">
        <v>281</v>
      </c>
      <c r="I32" s="87" t="s">
        <v>282</v>
      </c>
      <c r="J32" s="92" t="s">
        <v>324</v>
      </c>
      <c r="K32" s="92" t="s">
        <v>426</v>
      </c>
      <c r="L32" s="84">
        <f>236.8+947.1+25245+73.5+110.5+2642.9</f>
        <v>29255.800000000003</v>
      </c>
      <c r="M32" s="84">
        <v>19953.6</v>
      </c>
      <c r="N32" s="84">
        <f>273+13410.9-20</f>
        <v>13663.9</v>
      </c>
      <c r="O32" s="99">
        <f>P32+Q32</f>
        <v>0</v>
      </c>
      <c r="P32" s="84"/>
      <c r="Q32" s="84"/>
      <c r="R32" s="99">
        <f>S32+T32</f>
        <v>0</v>
      </c>
      <c r="S32" s="84"/>
      <c r="T32" s="84"/>
      <c r="U32" s="99">
        <f>V32+W32</f>
        <v>0</v>
      </c>
      <c r="V32" s="84"/>
      <c r="W32" s="84"/>
      <c r="X32" s="39"/>
      <c r="Y32" s="40"/>
      <c r="Z32" s="40"/>
      <c r="AA32" s="40"/>
      <c r="AB32" s="40"/>
      <c r="AC32" s="40"/>
      <c r="AD32" s="40"/>
    </row>
    <row r="33" spans="1:30" s="41" customFormat="1" ht="83.25" customHeight="1">
      <c r="A33" s="39"/>
      <c r="B33" s="57"/>
      <c r="C33" s="54" t="s">
        <v>295</v>
      </c>
      <c r="D33" s="86" t="s">
        <v>299</v>
      </c>
      <c r="E33" s="86" t="s">
        <v>166</v>
      </c>
      <c r="F33" s="93" t="s">
        <v>301</v>
      </c>
      <c r="G33" s="86" t="s">
        <v>300</v>
      </c>
      <c r="H33" s="86" t="s">
        <v>166</v>
      </c>
      <c r="I33" s="93" t="s">
        <v>302</v>
      </c>
      <c r="J33" s="94">
        <v>10</v>
      </c>
      <c r="K33" s="94" t="s">
        <v>25</v>
      </c>
      <c r="L33" s="84">
        <v>115</v>
      </c>
      <c r="M33" s="84">
        <v>115</v>
      </c>
      <c r="N33" s="84"/>
      <c r="O33" s="99"/>
      <c r="P33" s="84"/>
      <c r="Q33" s="84"/>
      <c r="R33" s="99"/>
      <c r="S33" s="84"/>
      <c r="T33" s="84"/>
      <c r="U33" s="99"/>
      <c r="V33" s="84"/>
      <c r="W33" s="84"/>
      <c r="X33" s="39"/>
      <c r="Y33" s="40"/>
      <c r="Z33" s="40"/>
      <c r="AA33" s="40"/>
      <c r="AB33" s="40"/>
      <c r="AC33" s="40"/>
      <c r="AD33" s="40"/>
    </row>
    <row r="34" spans="1:30" s="41" customFormat="1" ht="84" customHeight="1">
      <c r="A34" s="39"/>
      <c r="B34" s="57"/>
      <c r="C34" s="67" t="s">
        <v>296</v>
      </c>
      <c r="D34" s="86"/>
      <c r="E34" s="86"/>
      <c r="F34" s="86"/>
      <c r="G34" s="86" t="s">
        <v>298</v>
      </c>
      <c r="H34" s="86" t="s">
        <v>281</v>
      </c>
      <c r="I34" s="95" t="s">
        <v>297</v>
      </c>
      <c r="J34" s="94" t="s">
        <v>23</v>
      </c>
      <c r="K34" s="94" t="s">
        <v>25</v>
      </c>
      <c r="L34" s="84">
        <v>372.7</v>
      </c>
      <c r="M34" s="84">
        <v>372.7</v>
      </c>
      <c r="N34" s="84"/>
      <c r="O34" s="99"/>
      <c r="P34" s="84"/>
      <c r="Q34" s="84"/>
      <c r="R34" s="99"/>
      <c r="S34" s="84"/>
      <c r="T34" s="84"/>
      <c r="U34" s="99"/>
      <c r="V34" s="84"/>
      <c r="W34" s="84"/>
      <c r="X34" s="39"/>
      <c r="Y34" s="40"/>
      <c r="Z34" s="40"/>
      <c r="AA34" s="40"/>
      <c r="AB34" s="40"/>
      <c r="AC34" s="40"/>
      <c r="AD34" s="40"/>
    </row>
    <row r="35" spans="1:30" s="41" customFormat="1" ht="69" customHeight="1">
      <c r="A35" s="39"/>
      <c r="B35" s="57"/>
      <c r="C35" s="54" t="s">
        <v>326</v>
      </c>
      <c r="D35" s="86" t="s">
        <v>47</v>
      </c>
      <c r="E35" s="86" t="s">
        <v>320</v>
      </c>
      <c r="F35" s="86" t="s">
        <v>319</v>
      </c>
      <c r="G35" s="86"/>
      <c r="H35" s="86"/>
      <c r="I35" s="95"/>
      <c r="J35" s="94" t="s">
        <v>24</v>
      </c>
      <c r="K35" s="94" t="s">
        <v>25</v>
      </c>
      <c r="L35" s="84"/>
      <c r="M35" s="84"/>
      <c r="N35" s="84"/>
      <c r="O35" s="99">
        <f>P35</f>
        <v>3.8</v>
      </c>
      <c r="P35" s="84">
        <v>3.8</v>
      </c>
      <c r="Q35" s="84"/>
      <c r="R35" s="99">
        <f>S35</f>
        <v>3.8</v>
      </c>
      <c r="S35" s="84">
        <v>3.8</v>
      </c>
      <c r="T35" s="84"/>
      <c r="U35" s="99">
        <f>V35</f>
        <v>3.8</v>
      </c>
      <c r="V35" s="84">
        <v>3.8</v>
      </c>
      <c r="W35" s="84"/>
      <c r="X35" s="39"/>
      <c r="Y35" s="40"/>
      <c r="Z35" s="40"/>
      <c r="AA35" s="40"/>
      <c r="AB35" s="40"/>
      <c r="AC35" s="40"/>
      <c r="AD35" s="40"/>
    </row>
    <row r="36" spans="1:30" s="143" customFormat="1" ht="90" customHeight="1">
      <c r="A36" s="140"/>
      <c r="B36" s="120"/>
      <c r="C36" s="56" t="s">
        <v>227</v>
      </c>
      <c r="D36" s="137" t="s">
        <v>19</v>
      </c>
      <c r="E36" s="137" t="s">
        <v>19</v>
      </c>
      <c r="F36" s="137" t="s">
        <v>19</v>
      </c>
      <c r="G36" s="137" t="s">
        <v>19</v>
      </c>
      <c r="H36" s="137" t="s">
        <v>19</v>
      </c>
      <c r="I36" s="137" t="s">
        <v>19</v>
      </c>
      <c r="J36" s="138" t="s">
        <v>19</v>
      </c>
      <c r="K36" s="138" t="s">
        <v>19</v>
      </c>
      <c r="L36" s="139">
        <f>SUM(L37:L46)</f>
        <v>93761.59999999999</v>
      </c>
      <c r="M36" s="139">
        <f>SUM(M37:M46)</f>
        <v>88121.7</v>
      </c>
      <c r="N36" s="139">
        <f>SUM(N37:N46)</f>
        <v>89477.09999999999</v>
      </c>
      <c r="O36" s="155">
        <f>P36+Q36</f>
        <v>95518.29999999999</v>
      </c>
      <c r="P36" s="139">
        <f>SUM(P37:P46)</f>
        <v>95518.29999999999</v>
      </c>
      <c r="Q36" s="139">
        <f>SUM(Q37:Q46)</f>
        <v>0</v>
      </c>
      <c r="R36" s="155">
        <f>S36+T36</f>
        <v>94267.20000000001</v>
      </c>
      <c r="S36" s="139">
        <f>SUM(S37:S46)</f>
        <v>94267.20000000001</v>
      </c>
      <c r="T36" s="139">
        <f>SUM(T37:T46)</f>
        <v>0</v>
      </c>
      <c r="U36" s="155">
        <f>V36+W36</f>
        <v>91172.79999999999</v>
      </c>
      <c r="V36" s="139">
        <f>SUM(V37:V46)</f>
        <v>91172.79999999999</v>
      </c>
      <c r="W36" s="139">
        <f>SUM(W37:W46)</f>
        <v>0</v>
      </c>
      <c r="X36" s="140"/>
      <c r="Y36" s="142"/>
      <c r="Z36" s="142"/>
      <c r="AA36" s="142"/>
      <c r="AB36" s="142"/>
      <c r="AC36" s="142"/>
      <c r="AD36" s="142"/>
    </row>
    <row r="37" spans="1:30" s="41" customFormat="1" ht="162.75" customHeight="1">
      <c r="A37" s="39"/>
      <c r="B37" s="57"/>
      <c r="C37" s="51" t="s">
        <v>228</v>
      </c>
      <c r="D37" s="86" t="s">
        <v>42</v>
      </c>
      <c r="E37" s="86" t="s">
        <v>43</v>
      </c>
      <c r="F37" s="86" t="s">
        <v>270</v>
      </c>
      <c r="G37" s="86" t="s">
        <v>44</v>
      </c>
      <c r="H37" s="86" t="s">
        <v>45</v>
      </c>
      <c r="I37" s="86" t="s">
        <v>46</v>
      </c>
      <c r="J37" s="79" t="s">
        <v>366</v>
      </c>
      <c r="K37" s="79" t="s">
        <v>367</v>
      </c>
      <c r="L37" s="84">
        <f>30440.8+601.6+367.5-419+21.5+361.9+343.6-16-4+2.4+159.6+0.1+1514.4+23.2+1183.9+1182+5.9+2528</f>
        <v>38297.399999999994</v>
      </c>
      <c r="M37" s="84">
        <f>30832.5+23+1140.7+1158+5.8+2489.3</f>
        <v>35649.3</v>
      </c>
      <c r="N37" s="84">
        <f>30076.2-1749.1+4365.3+0.1-137.7+10-491.6-580.7-0.1+86.4+1170.7+1180.7+46.1+2387.1</f>
        <v>36363.4</v>
      </c>
      <c r="O37" s="99">
        <f>P37+Q37</f>
        <v>39751.6</v>
      </c>
      <c r="P37" s="84">
        <f>34780.8+1224.7+1227+2519.1</f>
        <v>39751.6</v>
      </c>
      <c r="Q37" s="84"/>
      <c r="R37" s="99">
        <f>S37+T37</f>
        <v>38534.50000000001</v>
      </c>
      <c r="S37" s="84">
        <f>34780.8-4430.1+1224.7+4440+2519.1</f>
        <v>38534.50000000001</v>
      </c>
      <c r="T37" s="84"/>
      <c r="U37" s="99">
        <f>V37+W37</f>
        <v>35471.1</v>
      </c>
      <c r="V37" s="84">
        <f>34780.8-4430.1+149.6+1224.7+1227+2519.1</f>
        <v>35471.1</v>
      </c>
      <c r="W37" s="84"/>
      <c r="X37" s="39"/>
      <c r="Y37" s="40"/>
      <c r="Z37" s="40"/>
      <c r="AA37" s="40"/>
      <c r="AB37" s="40"/>
      <c r="AC37" s="40"/>
      <c r="AD37" s="40"/>
    </row>
    <row r="38" spans="1:30" s="41" customFormat="1" ht="1.5" customHeight="1" hidden="1">
      <c r="A38" s="39"/>
      <c r="B38" s="57"/>
      <c r="C38" s="51" t="s">
        <v>229</v>
      </c>
      <c r="D38" s="96" t="s">
        <v>214</v>
      </c>
      <c r="E38" s="96" t="s">
        <v>215</v>
      </c>
      <c r="F38" s="96" t="s">
        <v>216</v>
      </c>
      <c r="G38" s="78"/>
      <c r="H38" s="78"/>
      <c r="I38" s="78"/>
      <c r="J38" s="79"/>
      <c r="K38" s="79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39"/>
      <c r="Y38" s="40"/>
      <c r="Z38" s="40"/>
      <c r="AA38" s="40"/>
      <c r="AB38" s="40"/>
      <c r="AC38" s="40"/>
      <c r="AD38" s="40"/>
    </row>
    <row r="39" spans="1:30" s="41" customFormat="1" ht="132" customHeight="1">
      <c r="A39" s="39"/>
      <c r="B39" s="57"/>
      <c r="C39" s="51" t="s">
        <v>230</v>
      </c>
      <c r="D39" s="86" t="s">
        <v>52</v>
      </c>
      <c r="E39" s="86" t="s">
        <v>53</v>
      </c>
      <c r="F39" s="86" t="s">
        <v>267</v>
      </c>
      <c r="G39" s="89" t="s">
        <v>193</v>
      </c>
      <c r="H39" s="78" t="s">
        <v>194</v>
      </c>
      <c r="I39" s="90" t="s">
        <v>195</v>
      </c>
      <c r="J39" s="79" t="s">
        <v>361</v>
      </c>
      <c r="K39" s="79" t="s">
        <v>362</v>
      </c>
      <c r="L39" s="84">
        <f>15029.3+102.8-25-30.3-109.7+25+30+38-22-13.1+2200+14068.9+21166.9</f>
        <v>52460.8</v>
      </c>
      <c r="M39" s="84">
        <f>14164.2+2154.6+12956.4+20194.1</f>
        <v>49469.3</v>
      </c>
      <c r="N39" s="84">
        <f>13901.9-606.3+0.1+2180.5+13949.3+21382.6</f>
        <v>50808.1</v>
      </c>
      <c r="O39" s="99">
        <f>P39+Q39</f>
        <v>51597.799999999996</v>
      </c>
      <c r="P39" s="84">
        <f>13024.5+2240.8+14739.9+21592.6</f>
        <v>51597.799999999996</v>
      </c>
      <c r="Q39" s="84"/>
      <c r="R39" s="99">
        <f>S39+T39</f>
        <v>51597.7</v>
      </c>
      <c r="S39" s="84">
        <f>13024.5-8+2240.8+14747.8+21592.6</f>
        <v>51597.7</v>
      </c>
      <c r="T39" s="84"/>
      <c r="U39" s="99">
        <f>V39+W39</f>
        <v>51594.7</v>
      </c>
      <c r="V39" s="84">
        <f>13024.5-8-3+2240.8+14747.8+21592.6</f>
        <v>51594.7</v>
      </c>
      <c r="W39" s="84"/>
      <c r="X39" s="39"/>
      <c r="Y39" s="40"/>
      <c r="Z39" s="40"/>
      <c r="AA39" s="40"/>
      <c r="AB39" s="40"/>
      <c r="AC39" s="40"/>
      <c r="AD39" s="40"/>
    </row>
    <row r="40" spans="1:30" s="41" customFormat="1" ht="69.75" customHeight="1">
      <c r="A40" s="39"/>
      <c r="B40" s="57"/>
      <c r="C40" s="51" t="s">
        <v>255</v>
      </c>
      <c r="D40" s="86" t="s">
        <v>256</v>
      </c>
      <c r="E40" s="86" t="s">
        <v>166</v>
      </c>
      <c r="F40" s="93" t="s">
        <v>257</v>
      </c>
      <c r="G40" s="89"/>
      <c r="H40" s="78"/>
      <c r="I40" s="90"/>
      <c r="J40" s="79" t="s">
        <v>23</v>
      </c>
      <c r="K40" s="79" t="s">
        <v>110</v>
      </c>
      <c r="L40" s="84">
        <f>232.4+200</f>
        <v>432.4</v>
      </c>
      <c r="M40" s="84">
        <f>232.4+200</f>
        <v>432.4</v>
      </c>
      <c r="N40" s="84"/>
      <c r="O40" s="99">
        <f>P40+Q40</f>
        <v>0</v>
      </c>
      <c r="P40" s="84"/>
      <c r="Q40" s="84"/>
      <c r="R40" s="99">
        <f>S40+T40</f>
        <v>0</v>
      </c>
      <c r="S40" s="84"/>
      <c r="T40" s="84"/>
      <c r="U40" s="99">
        <f>V40+W40</f>
        <v>0</v>
      </c>
      <c r="V40" s="84"/>
      <c r="W40" s="84"/>
      <c r="X40" s="39"/>
      <c r="Y40" s="40"/>
      <c r="Z40" s="40"/>
      <c r="AA40" s="40"/>
      <c r="AB40" s="40"/>
      <c r="AC40" s="40"/>
      <c r="AD40" s="40"/>
    </row>
    <row r="41" spans="1:30" s="41" customFormat="1" ht="90" customHeight="1">
      <c r="A41" s="39"/>
      <c r="B41" s="57"/>
      <c r="C41" s="51" t="s">
        <v>304</v>
      </c>
      <c r="D41" s="86" t="s">
        <v>305</v>
      </c>
      <c r="E41" s="86" t="s">
        <v>166</v>
      </c>
      <c r="F41" s="93" t="s">
        <v>306</v>
      </c>
      <c r="G41" s="89"/>
      <c r="H41" s="78"/>
      <c r="I41" s="90"/>
      <c r="J41" s="79" t="s">
        <v>21</v>
      </c>
      <c r="K41" s="79" t="s">
        <v>303</v>
      </c>
      <c r="L41" s="84">
        <v>108</v>
      </c>
      <c r="M41" s="84">
        <v>108</v>
      </c>
      <c r="N41" s="84"/>
      <c r="O41" s="99"/>
      <c r="P41" s="84"/>
      <c r="Q41" s="84"/>
      <c r="R41" s="99"/>
      <c r="S41" s="84"/>
      <c r="T41" s="84"/>
      <c r="U41" s="99"/>
      <c r="V41" s="84"/>
      <c r="W41" s="84"/>
      <c r="X41" s="39"/>
      <c r="Y41" s="40"/>
      <c r="Z41" s="40"/>
      <c r="AA41" s="40"/>
      <c r="AB41" s="40"/>
      <c r="AC41" s="40"/>
      <c r="AD41" s="40"/>
    </row>
    <row r="42" spans="1:30" s="41" customFormat="1" ht="109.5" customHeight="1">
      <c r="A42" s="39"/>
      <c r="B42" s="57"/>
      <c r="C42" s="51" t="s">
        <v>231</v>
      </c>
      <c r="D42" s="86" t="s">
        <v>178</v>
      </c>
      <c r="E42" s="86" t="s">
        <v>179</v>
      </c>
      <c r="F42" s="86" t="s">
        <v>269</v>
      </c>
      <c r="G42" s="86" t="s">
        <v>180</v>
      </c>
      <c r="H42" s="86" t="s">
        <v>181</v>
      </c>
      <c r="I42" s="86" t="s">
        <v>182</v>
      </c>
      <c r="J42" s="79" t="s">
        <v>144</v>
      </c>
      <c r="K42" s="79" t="s">
        <v>110</v>
      </c>
      <c r="L42" s="84">
        <f>2204.4+151.2-0.1</f>
        <v>2355.5</v>
      </c>
      <c r="M42" s="84">
        <f>2204.4+151.2-0.1</f>
        <v>2355.5</v>
      </c>
      <c r="N42" s="84">
        <f>1811.5+390.9+30</f>
        <v>2232.4</v>
      </c>
      <c r="O42" s="99">
        <f>P42+Q42</f>
        <v>4035</v>
      </c>
      <c r="P42" s="84">
        <v>4035</v>
      </c>
      <c r="Q42" s="84"/>
      <c r="R42" s="99">
        <f>S42+T42</f>
        <v>4035</v>
      </c>
      <c r="S42" s="84">
        <v>4035</v>
      </c>
      <c r="T42" s="84"/>
      <c r="U42" s="99">
        <f>V42+W42</f>
        <v>4035</v>
      </c>
      <c r="V42" s="84">
        <v>4035</v>
      </c>
      <c r="W42" s="84"/>
      <c r="X42" s="39"/>
      <c r="Y42" s="40"/>
      <c r="Z42" s="40"/>
      <c r="AA42" s="40"/>
      <c r="AB42" s="40"/>
      <c r="AC42" s="40"/>
      <c r="AD42" s="40"/>
    </row>
    <row r="43" spans="1:30" s="41" customFormat="1" ht="108" customHeight="1">
      <c r="A43" s="39"/>
      <c r="B43" s="57"/>
      <c r="C43" s="51" t="s">
        <v>232</v>
      </c>
      <c r="D43" s="86" t="s">
        <v>32</v>
      </c>
      <c r="E43" s="86" t="s">
        <v>190</v>
      </c>
      <c r="F43" s="86" t="s">
        <v>270</v>
      </c>
      <c r="G43" s="87" t="s">
        <v>33</v>
      </c>
      <c r="H43" s="87" t="s">
        <v>191</v>
      </c>
      <c r="I43" s="87" t="s">
        <v>34</v>
      </c>
      <c r="J43" s="79" t="s">
        <v>340</v>
      </c>
      <c r="K43" s="79" t="s">
        <v>341</v>
      </c>
      <c r="L43" s="84">
        <f>75.5+32</f>
        <v>107.5</v>
      </c>
      <c r="M43" s="84">
        <f>75.2+32</f>
        <v>107.2</v>
      </c>
      <c r="N43" s="84">
        <f>36.4-3+25.6+14.7-3+2.5</f>
        <v>73.2</v>
      </c>
      <c r="O43" s="99">
        <f>P43+Q43</f>
        <v>133.9</v>
      </c>
      <c r="P43" s="84">
        <f>121.9+12</f>
        <v>133.9</v>
      </c>
      <c r="Q43" s="84"/>
      <c r="R43" s="99">
        <f>S43+T43</f>
        <v>100</v>
      </c>
      <c r="S43" s="84">
        <f>121.9-47.9+26</f>
        <v>100</v>
      </c>
      <c r="T43" s="84"/>
      <c r="U43" s="99">
        <f>V43+W43</f>
        <v>72</v>
      </c>
      <c r="V43" s="84">
        <f>121.9-47.9-6+4</f>
        <v>72</v>
      </c>
      <c r="W43" s="84"/>
      <c r="X43" s="39"/>
      <c r="Y43" s="40"/>
      <c r="Z43" s="40"/>
      <c r="AA43" s="40"/>
      <c r="AB43" s="40"/>
      <c r="AC43" s="40"/>
      <c r="AD43" s="40"/>
    </row>
    <row r="44" spans="1:30" s="41" customFormat="1" ht="12.75">
      <c r="A44" s="39"/>
      <c r="B44" s="57"/>
      <c r="C44" s="51" t="s">
        <v>7</v>
      </c>
      <c r="D44" s="96"/>
      <c r="E44" s="96"/>
      <c r="F44" s="96"/>
      <c r="G44" s="78"/>
      <c r="H44" s="78"/>
      <c r="I44" s="78"/>
      <c r="J44" s="79"/>
      <c r="K44" s="7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39"/>
      <c r="Y44" s="40"/>
      <c r="Z44" s="40"/>
      <c r="AA44" s="40"/>
      <c r="AB44" s="40"/>
      <c r="AC44" s="40"/>
      <c r="AD44" s="40"/>
    </row>
    <row r="45" spans="1:30" s="41" customFormat="1" ht="12.75">
      <c r="A45" s="39"/>
      <c r="B45" s="57"/>
      <c r="C45" s="57" t="s">
        <v>7</v>
      </c>
      <c r="D45" s="96"/>
      <c r="E45" s="96"/>
      <c r="F45" s="96"/>
      <c r="G45" s="78"/>
      <c r="H45" s="78"/>
      <c r="I45" s="78"/>
      <c r="J45" s="79"/>
      <c r="K45" s="79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39"/>
      <c r="Y45" s="40"/>
      <c r="Z45" s="40"/>
      <c r="AA45" s="40"/>
      <c r="AB45" s="40"/>
      <c r="AC45" s="40"/>
      <c r="AD45" s="40"/>
    </row>
    <row r="46" spans="1:30" s="41" customFormat="1" ht="12.75">
      <c r="A46" s="39"/>
      <c r="B46" s="57"/>
      <c r="C46" s="57" t="s">
        <v>7</v>
      </c>
      <c r="D46" s="96"/>
      <c r="E46" s="96"/>
      <c r="F46" s="96"/>
      <c r="G46" s="78"/>
      <c r="H46" s="78"/>
      <c r="I46" s="78"/>
      <c r="J46" s="79"/>
      <c r="K46" s="79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39"/>
      <c r="Y46" s="40"/>
      <c r="Z46" s="40"/>
      <c r="AA46" s="40"/>
      <c r="AB46" s="40"/>
      <c r="AC46" s="40"/>
      <c r="AD46" s="40"/>
    </row>
    <row r="47" spans="1:30" s="143" customFormat="1" ht="108" customHeight="1">
      <c r="A47" s="140"/>
      <c r="B47" s="191"/>
      <c r="C47" s="192" t="s">
        <v>233</v>
      </c>
      <c r="D47" s="171" t="s">
        <v>19</v>
      </c>
      <c r="E47" s="171" t="s">
        <v>19</v>
      </c>
      <c r="F47" s="171" t="s">
        <v>19</v>
      </c>
      <c r="G47" s="171" t="s">
        <v>19</v>
      </c>
      <c r="H47" s="171" t="s">
        <v>19</v>
      </c>
      <c r="I47" s="171" t="s">
        <v>19</v>
      </c>
      <c r="J47" s="179" t="s">
        <v>19</v>
      </c>
      <c r="K47" s="179" t="s">
        <v>19</v>
      </c>
      <c r="L47" s="185">
        <f>L49</f>
        <v>123884.9</v>
      </c>
      <c r="M47" s="185">
        <f>M49</f>
        <v>122937.70000000003</v>
      </c>
      <c r="N47" s="185">
        <f>N49</f>
        <v>144558.59999999998</v>
      </c>
      <c r="O47" s="185">
        <f>P47+Q47</f>
        <v>163572.9</v>
      </c>
      <c r="P47" s="185">
        <f>P49</f>
        <v>163572.9</v>
      </c>
      <c r="Q47" s="185">
        <f>Q49</f>
        <v>0</v>
      </c>
      <c r="R47" s="185">
        <f>S47+T47</f>
        <v>162728.5</v>
      </c>
      <c r="S47" s="185">
        <f>S49</f>
        <v>162728.5</v>
      </c>
      <c r="T47" s="185">
        <f>T49</f>
        <v>0</v>
      </c>
      <c r="U47" s="185">
        <f>V47+W47</f>
        <v>163649.09999999998</v>
      </c>
      <c r="V47" s="185">
        <f>V49</f>
        <v>163649.09999999998</v>
      </c>
      <c r="W47" s="185">
        <f>W49</f>
        <v>0</v>
      </c>
      <c r="X47" s="141"/>
      <c r="Y47" s="142"/>
      <c r="Z47" s="142"/>
      <c r="AA47" s="142"/>
      <c r="AB47" s="142"/>
      <c r="AC47" s="142"/>
      <c r="AD47" s="142"/>
    </row>
    <row r="48" spans="1:30" s="41" customFormat="1" ht="12.75" hidden="1">
      <c r="A48" s="39"/>
      <c r="B48" s="191"/>
      <c r="C48" s="193"/>
      <c r="D48" s="172"/>
      <c r="E48" s="172"/>
      <c r="F48" s="172"/>
      <c r="G48" s="172"/>
      <c r="H48" s="172"/>
      <c r="I48" s="172"/>
      <c r="J48" s="180"/>
      <c r="K48" s="180"/>
      <c r="L48" s="194"/>
      <c r="M48" s="194"/>
      <c r="N48" s="194"/>
      <c r="O48" s="186"/>
      <c r="P48" s="194"/>
      <c r="Q48" s="194"/>
      <c r="R48" s="186"/>
      <c r="S48" s="194"/>
      <c r="T48" s="194"/>
      <c r="U48" s="186"/>
      <c r="V48" s="194"/>
      <c r="W48" s="194"/>
      <c r="X48" s="43"/>
      <c r="Y48" s="40"/>
      <c r="Z48" s="40"/>
      <c r="AA48" s="40"/>
      <c r="AB48" s="40"/>
      <c r="AC48" s="40"/>
      <c r="AD48" s="40"/>
    </row>
    <row r="49" spans="1:30" s="41" customFormat="1" ht="57" customHeight="1">
      <c r="A49" s="39"/>
      <c r="B49" s="57"/>
      <c r="C49" s="71" t="s">
        <v>266</v>
      </c>
      <c r="D49" s="78" t="s">
        <v>19</v>
      </c>
      <c r="E49" s="78" t="s">
        <v>19</v>
      </c>
      <c r="F49" s="78" t="s">
        <v>19</v>
      </c>
      <c r="G49" s="78" t="s">
        <v>19</v>
      </c>
      <c r="H49" s="78" t="s">
        <v>19</v>
      </c>
      <c r="I49" s="78" t="s">
        <v>19</v>
      </c>
      <c r="J49" s="79" t="s">
        <v>19</v>
      </c>
      <c r="K49" s="79" t="s">
        <v>19</v>
      </c>
      <c r="L49" s="84">
        <f>SUM(L51:L78)</f>
        <v>123884.9</v>
      </c>
      <c r="M49" s="84">
        <f aca="true" t="shared" si="4" ref="M49:W49">SUM(M51:M78)</f>
        <v>122937.70000000003</v>
      </c>
      <c r="N49" s="84">
        <f t="shared" si="4"/>
        <v>144558.59999999998</v>
      </c>
      <c r="O49" s="84">
        <f t="shared" si="4"/>
        <v>163572.9</v>
      </c>
      <c r="P49" s="84">
        <f t="shared" si="4"/>
        <v>163572.9</v>
      </c>
      <c r="Q49" s="84">
        <f t="shared" si="4"/>
        <v>0</v>
      </c>
      <c r="R49" s="84">
        <f t="shared" si="4"/>
        <v>162728.5</v>
      </c>
      <c r="S49" s="84">
        <f t="shared" si="4"/>
        <v>162728.5</v>
      </c>
      <c r="T49" s="84">
        <f t="shared" si="4"/>
        <v>0</v>
      </c>
      <c r="U49" s="84">
        <f t="shared" si="4"/>
        <v>163649.09999999998</v>
      </c>
      <c r="V49" s="84">
        <f t="shared" si="4"/>
        <v>163649.09999999998</v>
      </c>
      <c r="W49" s="84">
        <f t="shared" si="4"/>
        <v>0</v>
      </c>
      <c r="X49" s="43"/>
      <c r="Y49" s="40"/>
      <c r="Z49" s="40"/>
      <c r="AA49" s="40"/>
      <c r="AB49" s="40"/>
      <c r="AC49" s="40"/>
      <c r="AD49" s="40"/>
    </row>
    <row r="50" spans="1:30" s="41" customFormat="1" ht="18.75" customHeight="1">
      <c r="A50" s="39"/>
      <c r="B50" s="57"/>
      <c r="C50" s="57" t="s">
        <v>218</v>
      </c>
      <c r="D50" s="78"/>
      <c r="E50" s="78"/>
      <c r="F50" s="78"/>
      <c r="G50" s="78"/>
      <c r="H50" s="78"/>
      <c r="I50" s="78"/>
      <c r="J50" s="79"/>
      <c r="K50" s="79"/>
      <c r="L50" s="84"/>
      <c r="M50" s="84"/>
      <c r="N50" s="84"/>
      <c r="O50" s="99"/>
      <c r="P50" s="84"/>
      <c r="Q50" s="84"/>
      <c r="R50" s="99"/>
      <c r="S50" s="84"/>
      <c r="T50" s="84"/>
      <c r="U50" s="99"/>
      <c r="V50" s="84"/>
      <c r="W50" s="84"/>
      <c r="X50" s="43"/>
      <c r="Y50" s="40"/>
      <c r="Z50" s="40"/>
      <c r="AA50" s="40"/>
      <c r="AB50" s="40"/>
      <c r="AC50" s="40"/>
      <c r="AD50" s="40"/>
    </row>
    <row r="51" spans="1:30" s="41" customFormat="1" ht="187.5" customHeight="1">
      <c r="A51" s="39"/>
      <c r="B51" s="57"/>
      <c r="C51" s="149" t="s">
        <v>427</v>
      </c>
      <c r="D51" s="150" t="s">
        <v>200</v>
      </c>
      <c r="E51" s="150" t="s">
        <v>201</v>
      </c>
      <c r="F51" s="150" t="s">
        <v>202</v>
      </c>
      <c r="G51" s="150" t="s">
        <v>203</v>
      </c>
      <c r="H51" s="151" t="s">
        <v>428</v>
      </c>
      <c r="I51" s="152" t="s">
        <v>205</v>
      </c>
      <c r="J51" s="153" t="s">
        <v>206</v>
      </c>
      <c r="K51" s="153" t="s">
        <v>21</v>
      </c>
      <c r="L51" s="157">
        <v>34057.9</v>
      </c>
      <c r="M51" s="161">
        <v>34057.9</v>
      </c>
      <c r="N51" s="161">
        <v>32810.4</v>
      </c>
      <c r="O51" s="161">
        <v>37485</v>
      </c>
      <c r="P51" s="161">
        <v>37485</v>
      </c>
      <c r="Q51" s="161">
        <v>0</v>
      </c>
      <c r="R51" s="161">
        <v>37485</v>
      </c>
      <c r="S51" s="161">
        <v>37485</v>
      </c>
      <c r="T51" s="161">
        <v>0</v>
      </c>
      <c r="U51" s="161">
        <v>37485</v>
      </c>
      <c r="V51" s="161">
        <v>37485</v>
      </c>
      <c r="W51" s="161">
        <v>0</v>
      </c>
      <c r="X51" s="43"/>
      <c r="Y51" s="40"/>
      <c r="Z51" s="40"/>
      <c r="AA51" s="40"/>
      <c r="AB51" s="40"/>
      <c r="AC51" s="40"/>
      <c r="AD51" s="40"/>
    </row>
    <row r="52" spans="1:30" s="41" customFormat="1" ht="206.25" customHeight="1">
      <c r="A52" s="39"/>
      <c r="B52" s="57"/>
      <c r="C52" s="51" t="s">
        <v>234</v>
      </c>
      <c r="D52" s="86" t="s">
        <v>36</v>
      </c>
      <c r="E52" s="86" t="s">
        <v>37</v>
      </c>
      <c r="F52" s="86" t="s">
        <v>38</v>
      </c>
      <c r="G52" s="86" t="s">
        <v>39</v>
      </c>
      <c r="H52" s="97" t="s">
        <v>40</v>
      </c>
      <c r="I52" s="98" t="s">
        <v>41</v>
      </c>
      <c r="J52" s="88" t="s">
        <v>21</v>
      </c>
      <c r="K52" s="88" t="s">
        <v>22</v>
      </c>
      <c r="L52" s="84">
        <f>472+1.5</f>
        <v>473.5</v>
      </c>
      <c r="M52" s="84">
        <f>472+1.5</f>
        <v>473.5</v>
      </c>
      <c r="N52" s="84">
        <f>472-2.3</f>
        <v>469.7</v>
      </c>
      <c r="O52" s="99">
        <f>P52+Q52</f>
        <v>519</v>
      </c>
      <c r="P52" s="84">
        <v>519</v>
      </c>
      <c r="Q52" s="84"/>
      <c r="R52" s="99">
        <f>S52+T52</f>
        <v>519</v>
      </c>
      <c r="S52" s="84">
        <v>519</v>
      </c>
      <c r="T52" s="84"/>
      <c r="U52" s="99">
        <f>V52+W52</f>
        <v>519</v>
      </c>
      <c r="V52" s="84">
        <v>519</v>
      </c>
      <c r="W52" s="84"/>
      <c r="X52" s="43"/>
      <c r="Y52" s="40"/>
      <c r="Z52" s="40"/>
      <c r="AA52" s="40"/>
      <c r="AB52" s="40"/>
      <c r="AC52" s="40"/>
      <c r="AD52" s="40"/>
    </row>
    <row r="53" spans="1:30" s="41" customFormat="1" ht="0.75" customHeight="1">
      <c r="A53" s="39"/>
      <c r="B53" s="57"/>
      <c r="C53" s="51" t="s">
        <v>235</v>
      </c>
      <c r="D53" s="86" t="s">
        <v>200</v>
      </c>
      <c r="E53" s="86" t="s">
        <v>201</v>
      </c>
      <c r="F53" s="86" t="s">
        <v>202</v>
      </c>
      <c r="G53" s="86" t="s">
        <v>203</v>
      </c>
      <c r="H53" s="97" t="s">
        <v>204</v>
      </c>
      <c r="I53" s="98" t="s">
        <v>205</v>
      </c>
      <c r="J53" s="88" t="s">
        <v>206</v>
      </c>
      <c r="K53" s="88" t="s">
        <v>110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43"/>
      <c r="Y53" s="40"/>
      <c r="Z53" s="40"/>
      <c r="AA53" s="40"/>
      <c r="AB53" s="40"/>
      <c r="AC53" s="40"/>
      <c r="AD53" s="40"/>
    </row>
    <row r="54" spans="1:30" s="41" customFormat="1" ht="77.25" customHeight="1">
      <c r="A54" s="39"/>
      <c r="B54" s="57"/>
      <c r="C54" s="122" t="s">
        <v>375</v>
      </c>
      <c r="D54" s="123"/>
      <c r="E54" s="123"/>
      <c r="F54" s="123"/>
      <c r="G54" s="123" t="s">
        <v>376</v>
      </c>
      <c r="H54" s="123" t="s">
        <v>377</v>
      </c>
      <c r="I54" s="123" t="s">
        <v>378</v>
      </c>
      <c r="J54" s="124" t="s">
        <v>22</v>
      </c>
      <c r="K54" s="124" t="s">
        <v>23</v>
      </c>
      <c r="L54" s="159">
        <v>4695.5</v>
      </c>
      <c r="M54" s="159">
        <v>4695.5</v>
      </c>
      <c r="N54" s="159">
        <v>4208.5</v>
      </c>
      <c r="O54" s="159">
        <v>4325.3</v>
      </c>
      <c r="P54" s="159">
        <v>4325.3</v>
      </c>
      <c r="Q54" s="159"/>
      <c r="R54" s="159">
        <v>4325.3</v>
      </c>
      <c r="S54" s="159">
        <v>4325.3</v>
      </c>
      <c r="T54" s="159"/>
      <c r="U54" s="159">
        <v>4325.3</v>
      </c>
      <c r="V54" s="159">
        <v>4325.3</v>
      </c>
      <c r="W54" s="159"/>
      <c r="X54" s="43"/>
      <c r="Y54" s="40"/>
      <c r="Z54" s="40"/>
      <c r="AA54" s="40"/>
      <c r="AB54" s="40"/>
      <c r="AC54" s="40"/>
      <c r="AD54" s="40"/>
    </row>
    <row r="55" spans="1:30" s="41" customFormat="1" ht="106.5" customHeight="1">
      <c r="A55" s="39"/>
      <c r="B55" s="57"/>
      <c r="C55" s="51" t="s">
        <v>430</v>
      </c>
      <c r="D55" s="86" t="s">
        <v>35</v>
      </c>
      <c r="E55" s="86" t="s">
        <v>431</v>
      </c>
      <c r="F55" s="86" t="s">
        <v>268</v>
      </c>
      <c r="G55" s="98" t="s">
        <v>432</v>
      </c>
      <c r="H55" s="97" t="s">
        <v>433</v>
      </c>
      <c r="I55" s="98" t="s">
        <v>434</v>
      </c>
      <c r="J55" s="88" t="s">
        <v>206</v>
      </c>
      <c r="K55" s="88" t="s">
        <v>284</v>
      </c>
      <c r="L55" s="158">
        <v>539</v>
      </c>
      <c r="M55" s="83">
        <v>537.5</v>
      </c>
      <c r="N55" s="83">
        <v>513.5</v>
      </c>
      <c r="O55" s="83">
        <v>516.7</v>
      </c>
      <c r="P55" s="83">
        <v>516.7</v>
      </c>
      <c r="Q55" s="83">
        <v>0</v>
      </c>
      <c r="R55" s="83">
        <v>516.7</v>
      </c>
      <c r="S55" s="83">
        <v>516.7</v>
      </c>
      <c r="T55" s="83">
        <v>0</v>
      </c>
      <c r="U55" s="83">
        <v>516.7</v>
      </c>
      <c r="V55" s="83">
        <v>516.7</v>
      </c>
      <c r="W55" s="83">
        <v>0</v>
      </c>
      <c r="X55" s="43"/>
      <c r="Y55" s="40"/>
      <c r="Z55" s="40"/>
      <c r="AA55" s="40"/>
      <c r="AB55" s="40"/>
      <c r="AC55" s="40"/>
      <c r="AD55" s="40"/>
    </row>
    <row r="56" spans="1:30" s="41" customFormat="1" ht="136.5" customHeight="1">
      <c r="A56" s="39"/>
      <c r="B56" s="57"/>
      <c r="C56" s="51" t="s">
        <v>435</v>
      </c>
      <c r="D56" s="86" t="s">
        <v>35</v>
      </c>
      <c r="E56" s="86" t="s">
        <v>436</v>
      </c>
      <c r="F56" s="86" t="s">
        <v>437</v>
      </c>
      <c r="G56" s="154" t="s">
        <v>438</v>
      </c>
      <c r="H56" s="100" t="s">
        <v>166</v>
      </c>
      <c r="I56" s="100">
        <v>39332</v>
      </c>
      <c r="J56" s="88" t="s">
        <v>206</v>
      </c>
      <c r="K56" s="88" t="s">
        <v>284</v>
      </c>
      <c r="L56" s="158">
        <v>469.7</v>
      </c>
      <c r="M56" s="83">
        <v>468.5</v>
      </c>
      <c r="N56" s="83">
        <v>465.4</v>
      </c>
      <c r="O56" s="83">
        <v>514.7</v>
      </c>
      <c r="P56" s="83">
        <v>514.7</v>
      </c>
      <c r="Q56" s="83">
        <v>0</v>
      </c>
      <c r="R56" s="83">
        <v>514.7</v>
      </c>
      <c r="S56" s="83">
        <v>514.7</v>
      </c>
      <c r="T56" s="83">
        <v>0</v>
      </c>
      <c r="U56" s="83">
        <v>514.7</v>
      </c>
      <c r="V56" s="83">
        <v>514.7</v>
      </c>
      <c r="W56" s="83">
        <v>0</v>
      </c>
      <c r="X56" s="43"/>
      <c r="Y56" s="40"/>
      <c r="Z56" s="40"/>
      <c r="AA56" s="40"/>
      <c r="AB56" s="40"/>
      <c r="AC56" s="40"/>
      <c r="AD56" s="40"/>
    </row>
    <row r="57" spans="1:30" s="41" customFormat="1" ht="252" customHeight="1">
      <c r="A57" s="39"/>
      <c r="B57" s="57"/>
      <c r="C57" s="51" t="s">
        <v>235</v>
      </c>
      <c r="D57" s="86" t="s">
        <v>200</v>
      </c>
      <c r="E57" s="86" t="s">
        <v>201</v>
      </c>
      <c r="F57" s="86" t="s">
        <v>202</v>
      </c>
      <c r="G57" s="86" t="s">
        <v>203</v>
      </c>
      <c r="H57" s="97" t="s">
        <v>439</v>
      </c>
      <c r="I57" s="98" t="s">
        <v>205</v>
      </c>
      <c r="J57" s="88" t="s">
        <v>206</v>
      </c>
      <c r="K57" s="88" t="s">
        <v>110</v>
      </c>
      <c r="L57" s="158">
        <v>62386.7</v>
      </c>
      <c r="M57" s="83">
        <v>62386.7</v>
      </c>
      <c r="N57" s="83">
        <v>64069</v>
      </c>
      <c r="O57" s="83">
        <v>68693.9</v>
      </c>
      <c r="P57" s="83">
        <v>68693.9</v>
      </c>
      <c r="Q57" s="83">
        <v>0</v>
      </c>
      <c r="R57" s="83">
        <v>68693.9</v>
      </c>
      <c r="S57" s="83">
        <v>68693.9</v>
      </c>
      <c r="T57" s="83">
        <v>0</v>
      </c>
      <c r="U57" s="83">
        <v>68693.9</v>
      </c>
      <c r="V57" s="83">
        <v>68693.9</v>
      </c>
      <c r="W57" s="83">
        <v>0</v>
      </c>
      <c r="X57" s="43"/>
      <c r="Y57" s="40"/>
      <c r="Z57" s="40"/>
      <c r="AA57" s="40"/>
      <c r="AB57" s="40"/>
      <c r="AC57" s="40"/>
      <c r="AD57" s="40"/>
    </row>
    <row r="58" spans="1:30" s="41" customFormat="1" ht="240" customHeight="1">
      <c r="A58" s="39"/>
      <c r="B58" s="57"/>
      <c r="C58" s="51" t="s">
        <v>440</v>
      </c>
      <c r="D58" s="86" t="s">
        <v>441</v>
      </c>
      <c r="E58" s="86" t="s">
        <v>442</v>
      </c>
      <c r="F58" s="86" t="s">
        <v>443</v>
      </c>
      <c r="G58" s="98" t="s">
        <v>444</v>
      </c>
      <c r="H58" s="97" t="s">
        <v>445</v>
      </c>
      <c r="I58" s="98" t="s">
        <v>446</v>
      </c>
      <c r="J58" s="88" t="s">
        <v>24</v>
      </c>
      <c r="K58" s="88" t="s">
        <v>22</v>
      </c>
      <c r="L58" s="158">
        <v>1637.7</v>
      </c>
      <c r="M58" s="83">
        <v>1110.5</v>
      </c>
      <c r="N58" s="83">
        <v>2067.5</v>
      </c>
      <c r="O58" s="83">
        <v>1501.6</v>
      </c>
      <c r="P58" s="83">
        <v>1501.6</v>
      </c>
      <c r="Q58" s="83">
        <v>0</v>
      </c>
      <c r="R58" s="83">
        <v>1501.6</v>
      </c>
      <c r="S58" s="83">
        <v>1501.6</v>
      </c>
      <c r="T58" s="83">
        <v>0</v>
      </c>
      <c r="U58" s="83">
        <v>1501.6</v>
      </c>
      <c r="V58" s="83">
        <v>1501.6</v>
      </c>
      <c r="W58" s="83">
        <v>0</v>
      </c>
      <c r="X58" s="43"/>
      <c r="Y58" s="40"/>
      <c r="Z58" s="40"/>
      <c r="AA58" s="40"/>
      <c r="AB58" s="40"/>
      <c r="AC58" s="40"/>
      <c r="AD58" s="40"/>
    </row>
    <row r="59" spans="1:30" s="41" customFormat="1" ht="168.75" customHeight="1">
      <c r="A59" s="39"/>
      <c r="B59" s="57"/>
      <c r="C59" s="51" t="s">
        <v>447</v>
      </c>
      <c r="D59" s="86" t="s">
        <v>448</v>
      </c>
      <c r="E59" s="86" t="s">
        <v>449</v>
      </c>
      <c r="F59" s="93" t="s">
        <v>450</v>
      </c>
      <c r="G59" s="98" t="s">
        <v>451</v>
      </c>
      <c r="H59" s="97" t="s">
        <v>452</v>
      </c>
      <c r="I59" s="98" t="s">
        <v>453</v>
      </c>
      <c r="J59" s="79" t="s">
        <v>206</v>
      </c>
      <c r="K59" s="79" t="s">
        <v>206</v>
      </c>
      <c r="L59" s="84">
        <v>13.8</v>
      </c>
      <c r="M59" s="83">
        <v>13.8</v>
      </c>
      <c r="N59" s="83">
        <v>240.3</v>
      </c>
      <c r="O59" s="83">
        <v>240.3</v>
      </c>
      <c r="P59" s="83">
        <v>240.3</v>
      </c>
      <c r="Q59" s="83">
        <v>0</v>
      </c>
      <c r="R59" s="83">
        <v>240.3</v>
      </c>
      <c r="S59" s="83">
        <v>240.3</v>
      </c>
      <c r="T59" s="83">
        <v>0</v>
      </c>
      <c r="U59" s="83">
        <v>240.3</v>
      </c>
      <c r="V59" s="83">
        <v>240.3</v>
      </c>
      <c r="W59" s="83">
        <v>0</v>
      </c>
      <c r="X59" s="43"/>
      <c r="Y59" s="40"/>
      <c r="Z59" s="40"/>
      <c r="AA59" s="40"/>
      <c r="AB59" s="40"/>
      <c r="AC59" s="40"/>
      <c r="AD59" s="40"/>
    </row>
    <row r="60" spans="1:30" s="41" customFormat="1" ht="408.75" customHeight="1">
      <c r="A60" s="39"/>
      <c r="B60" s="57"/>
      <c r="C60" s="51" t="s">
        <v>242</v>
      </c>
      <c r="D60" s="86" t="s">
        <v>243</v>
      </c>
      <c r="E60" s="86"/>
      <c r="F60" s="86" t="s">
        <v>244</v>
      </c>
      <c r="G60" s="150" t="s">
        <v>429</v>
      </c>
      <c r="H60" s="86"/>
      <c r="I60" s="86" t="s">
        <v>245</v>
      </c>
      <c r="J60" s="79" t="s">
        <v>24</v>
      </c>
      <c r="K60" s="79" t="s">
        <v>22</v>
      </c>
      <c r="L60" s="84"/>
      <c r="M60" s="84"/>
      <c r="N60" s="84">
        <f>110.6+16.4</f>
        <v>127</v>
      </c>
      <c r="O60" s="99">
        <f>P60+Q60</f>
        <v>0</v>
      </c>
      <c r="P60" s="84"/>
      <c r="Q60" s="84"/>
      <c r="R60" s="99">
        <f>S60+T60</f>
        <v>0</v>
      </c>
      <c r="S60" s="84"/>
      <c r="T60" s="84"/>
      <c r="U60" s="99">
        <f>V60+W60</f>
        <v>0</v>
      </c>
      <c r="V60" s="84"/>
      <c r="W60" s="84"/>
      <c r="X60" s="43"/>
      <c r="Y60" s="40"/>
      <c r="Z60" s="40"/>
      <c r="AA60" s="40"/>
      <c r="AB60" s="40"/>
      <c r="AC60" s="40"/>
      <c r="AD60" s="40"/>
    </row>
    <row r="61" spans="1:30" s="41" customFormat="1" ht="276.75" customHeight="1">
      <c r="A61" s="39"/>
      <c r="B61" s="57"/>
      <c r="C61" s="51" t="s">
        <v>236</v>
      </c>
      <c r="D61" s="86" t="s">
        <v>171</v>
      </c>
      <c r="E61" s="86" t="s">
        <v>166</v>
      </c>
      <c r="F61" s="86" t="s">
        <v>172</v>
      </c>
      <c r="G61" s="86" t="s">
        <v>173</v>
      </c>
      <c r="H61" s="100" t="s">
        <v>166</v>
      </c>
      <c r="I61" s="86" t="s">
        <v>174</v>
      </c>
      <c r="J61" s="88" t="s">
        <v>24</v>
      </c>
      <c r="K61" s="88" t="s">
        <v>22</v>
      </c>
      <c r="L61" s="84">
        <f>4135.3-902.4-262.9</f>
        <v>2970</v>
      </c>
      <c r="M61" s="84">
        <f>4135.3-902.4-262.9</f>
        <v>2970</v>
      </c>
      <c r="N61" s="84">
        <f>4135.3+175.2+1469.5-2000</f>
        <v>3780</v>
      </c>
      <c r="O61" s="99">
        <f>P61+Q61</f>
        <v>3780</v>
      </c>
      <c r="P61" s="84">
        <f>4135.3+175.2+1469.5-2000</f>
        <v>3780</v>
      </c>
      <c r="Q61" s="84"/>
      <c r="R61" s="99">
        <f>S61+T61</f>
        <v>3780</v>
      </c>
      <c r="S61" s="84">
        <f>4135.3+175.2+1469.5-2000</f>
        <v>3780</v>
      </c>
      <c r="T61" s="84"/>
      <c r="U61" s="99">
        <f>V61+W61</f>
        <v>3780</v>
      </c>
      <c r="V61" s="84">
        <f>4135.3+175.2+1469.5-2000</f>
        <v>3780</v>
      </c>
      <c r="W61" s="84"/>
      <c r="X61" s="43"/>
      <c r="Y61" s="40"/>
      <c r="Z61" s="40"/>
      <c r="AA61" s="40"/>
      <c r="AB61" s="40"/>
      <c r="AC61" s="40"/>
      <c r="AD61" s="40"/>
    </row>
    <row r="62" spans="1:30" s="41" customFormat="1" ht="81.75" customHeight="1">
      <c r="A62" s="39"/>
      <c r="B62" s="57"/>
      <c r="C62" s="125" t="s">
        <v>379</v>
      </c>
      <c r="D62" s="126"/>
      <c r="E62" s="126"/>
      <c r="F62" s="126"/>
      <c r="G62" s="127" t="s">
        <v>380</v>
      </c>
      <c r="H62" s="128" t="s">
        <v>348</v>
      </c>
      <c r="I62" s="128" t="s">
        <v>381</v>
      </c>
      <c r="J62" s="129" t="s">
        <v>22</v>
      </c>
      <c r="K62" s="130" t="s">
        <v>23</v>
      </c>
      <c r="L62" s="159"/>
      <c r="M62" s="160"/>
      <c r="N62" s="161">
        <v>1500</v>
      </c>
      <c r="O62" s="159">
        <v>10727.2</v>
      </c>
      <c r="P62" s="159">
        <v>10727.2</v>
      </c>
      <c r="Q62" s="160"/>
      <c r="R62" s="159">
        <v>10727.2</v>
      </c>
      <c r="S62" s="159">
        <v>10727.2</v>
      </c>
      <c r="T62" s="160"/>
      <c r="U62" s="159">
        <v>10727.2</v>
      </c>
      <c r="V62" s="159">
        <v>10727.2</v>
      </c>
      <c r="W62" s="160"/>
      <c r="X62" s="43"/>
      <c r="Y62" s="40"/>
      <c r="Z62" s="40"/>
      <c r="AA62" s="40"/>
      <c r="AB62" s="40"/>
      <c r="AC62" s="40"/>
      <c r="AD62" s="40"/>
    </row>
    <row r="63" spans="1:30" s="41" customFormat="1" ht="204.75" customHeight="1">
      <c r="A63" s="39"/>
      <c r="B63" s="57"/>
      <c r="C63" s="51" t="s">
        <v>237</v>
      </c>
      <c r="D63" s="86" t="s">
        <v>47</v>
      </c>
      <c r="E63" s="86" t="s">
        <v>49</v>
      </c>
      <c r="F63" s="86" t="s">
        <v>199</v>
      </c>
      <c r="G63" s="98" t="s">
        <v>48</v>
      </c>
      <c r="H63" s="97" t="s">
        <v>50</v>
      </c>
      <c r="I63" s="98" t="s">
        <v>51</v>
      </c>
      <c r="J63" s="88" t="s">
        <v>21</v>
      </c>
      <c r="K63" s="88" t="s">
        <v>23</v>
      </c>
      <c r="L63" s="84">
        <v>13.7</v>
      </c>
      <c r="M63" s="84">
        <v>3.8</v>
      </c>
      <c r="N63" s="84">
        <f>14.7-2.1</f>
        <v>12.6</v>
      </c>
      <c r="O63" s="84">
        <f>P63+Q63</f>
        <v>73.4</v>
      </c>
      <c r="P63" s="84">
        <v>73.4</v>
      </c>
      <c r="Q63" s="84"/>
      <c r="R63" s="84">
        <f>S63+T63</f>
        <v>5.900000000000006</v>
      </c>
      <c r="S63" s="84">
        <f>73.4-67.5</f>
        <v>5.900000000000006</v>
      </c>
      <c r="T63" s="84"/>
      <c r="U63" s="84">
        <f>V63+W63</f>
        <v>5.2000000000000055</v>
      </c>
      <c r="V63" s="84">
        <f>73.4-67.5-0.7</f>
        <v>5.2000000000000055</v>
      </c>
      <c r="W63" s="84"/>
      <c r="X63" s="43"/>
      <c r="Y63" s="40"/>
      <c r="Z63" s="40"/>
      <c r="AA63" s="40"/>
      <c r="AB63" s="40"/>
      <c r="AC63" s="40"/>
      <c r="AD63" s="40"/>
    </row>
    <row r="64" spans="1:30" s="41" customFormat="1" ht="204.75" customHeight="1">
      <c r="A64" s="39"/>
      <c r="B64" s="57"/>
      <c r="C64" s="149" t="s">
        <v>454</v>
      </c>
      <c r="D64" s="150" t="s">
        <v>200</v>
      </c>
      <c r="E64" s="150" t="s">
        <v>201</v>
      </c>
      <c r="F64" s="150" t="s">
        <v>202</v>
      </c>
      <c r="G64" s="150" t="s">
        <v>203</v>
      </c>
      <c r="H64" s="151" t="s">
        <v>439</v>
      </c>
      <c r="I64" s="152" t="s">
        <v>205</v>
      </c>
      <c r="J64" s="153" t="s">
        <v>206</v>
      </c>
      <c r="K64" s="153" t="s">
        <v>110</v>
      </c>
      <c r="L64" s="2">
        <v>237.2</v>
      </c>
      <c r="M64" s="161">
        <v>209.6</v>
      </c>
      <c r="N64" s="161">
        <v>261.1</v>
      </c>
      <c r="O64" s="161">
        <v>290.1</v>
      </c>
      <c r="P64" s="161">
        <v>290.1</v>
      </c>
      <c r="Q64" s="161">
        <v>0</v>
      </c>
      <c r="R64" s="161">
        <v>290.1</v>
      </c>
      <c r="S64" s="161">
        <v>290.1</v>
      </c>
      <c r="T64" s="161">
        <v>0</v>
      </c>
      <c r="U64" s="161">
        <v>290.1</v>
      </c>
      <c r="V64" s="161">
        <v>290.1</v>
      </c>
      <c r="W64" s="161">
        <v>0</v>
      </c>
      <c r="X64" s="43"/>
      <c r="Y64" s="40"/>
      <c r="Z64" s="40"/>
      <c r="AA64" s="40"/>
      <c r="AB64" s="40"/>
      <c r="AC64" s="40"/>
      <c r="AD64" s="40"/>
    </row>
    <row r="65" spans="1:30" s="41" customFormat="1" ht="204.75" customHeight="1">
      <c r="A65" s="39"/>
      <c r="B65" s="57"/>
      <c r="C65" s="149" t="s">
        <v>455</v>
      </c>
      <c r="D65" s="150" t="s">
        <v>200</v>
      </c>
      <c r="E65" s="150" t="s">
        <v>201</v>
      </c>
      <c r="F65" s="150" t="s">
        <v>202</v>
      </c>
      <c r="G65" s="150" t="s">
        <v>203</v>
      </c>
      <c r="H65" s="151" t="s">
        <v>439</v>
      </c>
      <c r="I65" s="152" t="s">
        <v>205</v>
      </c>
      <c r="J65" s="153" t="s">
        <v>206</v>
      </c>
      <c r="K65" s="153" t="s">
        <v>110</v>
      </c>
      <c r="L65" s="2">
        <v>639.1</v>
      </c>
      <c r="M65" s="161">
        <v>453.4</v>
      </c>
      <c r="N65" s="161">
        <v>738.8</v>
      </c>
      <c r="O65" s="161">
        <v>854.8</v>
      </c>
      <c r="P65" s="161">
        <v>854.8</v>
      </c>
      <c r="Q65" s="161">
        <v>0</v>
      </c>
      <c r="R65" s="161">
        <v>854.8</v>
      </c>
      <c r="S65" s="161">
        <v>854.8</v>
      </c>
      <c r="T65" s="161">
        <v>0</v>
      </c>
      <c r="U65" s="161">
        <v>854.8</v>
      </c>
      <c r="V65" s="161">
        <v>854.8</v>
      </c>
      <c r="W65" s="161">
        <v>0</v>
      </c>
      <c r="X65" s="43"/>
      <c r="Y65" s="40"/>
      <c r="Z65" s="40"/>
      <c r="AA65" s="40"/>
      <c r="AB65" s="40"/>
      <c r="AC65" s="40"/>
      <c r="AD65" s="40"/>
    </row>
    <row r="66" spans="1:30" s="41" customFormat="1" ht="192" customHeight="1">
      <c r="A66" s="39"/>
      <c r="B66" s="57"/>
      <c r="C66" s="51" t="s">
        <v>247</v>
      </c>
      <c r="D66" s="86"/>
      <c r="E66" s="86"/>
      <c r="F66" s="86"/>
      <c r="G66" s="98" t="s">
        <v>248</v>
      </c>
      <c r="H66" s="97" t="s">
        <v>166</v>
      </c>
      <c r="I66" s="101">
        <v>42831</v>
      </c>
      <c r="J66" s="88" t="s">
        <v>21</v>
      </c>
      <c r="K66" s="88" t="s">
        <v>22</v>
      </c>
      <c r="L66" s="84">
        <v>397.9</v>
      </c>
      <c r="M66" s="84">
        <v>397.9</v>
      </c>
      <c r="N66" s="84">
        <f>397.9-3.7</f>
        <v>394.2</v>
      </c>
      <c r="O66" s="84">
        <f>P66+Q66</f>
        <v>435.1</v>
      </c>
      <c r="P66" s="84">
        <v>435.1</v>
      </c>
      <c r="Q66" s="84"/>
      <c r="R66" s="84">
        <f>S66+T66</f>
        <v>435.1</v>
      </c>
      <c r="S66" s="84">
        <v>435.1</v>
      </c>
      <c r="T66" s="84"/>
      <c r="U66" s="84">
        <f>V66+W66</f>
        <v>435.1</v>
      </c>
      <c r="V66" s="84">
        <v>435.1</v>
      </c>
      <c r="W66" s="84"/>
      <c r="X66" s="43"/>
      <c r="Y66" s="40"/>
      <c r="Z66" s="40"/>
      <c r="AA66" s="40"/>
      <c r="AB66" s="40"/>
      <c r="AC66" s="40"/>
      <c r="AD66" s="40"/>
    </row>
    <row r="67" spans="1:30" s="41" customFormat="1" ht="192" customHeight="1">
      <c r="A67" s="39"/>
      <c r="B67" s="57"/>
      <c r="C67" s="51" t="s">
        <v>462</v>
      </c>
      <c r="D67" s="86" t="s">
        <v>47</v>
      </c>
      <c r="E67" s="86" t="s">
        <v>166</v>
      </c>
      <c r="F67" s="86" t="s">
        <v>199</v>
      </c>
      <c r="G67" s="98" t="s">
        <v>387</v>
      </c>
      <c r="H67" s="97" t="s">
        <v>166</v>
      </c>
      <c r="I67" s="101" t="s">
        <v>388</v>
      </c>
      <c r="J67" s="88" t="s">
        <v>382</v>
      </c>
      <c r="K67" s="88" t="s">
        <v>383</v>
      </c>
      <c r="L67" s="84">
        <f>2.5+1338.5</f>
        <v>1341</v>
      </c>
      <c r="M67" s="84">
        <f>2.5+1338.5</f>
        <v>1341</v>
      </c>
      <c r="N67" s="84">
        <f>2.5-0.3+1434.3</f>
        <v>1436.5</v>
      </c>
      <c r="O67" s="84">
        <f>P67+Q67</f>
        <v>1818.6000000000001</v>
      </c>
      <c r="P67" s="84">
        <f>2.5-0.3+1816.4</f>
        <v>1818.6000000000001</v>
      </c>
      <c r="Q67" s="84"/>
      <c r="R67" s="84">
        <f>S67+T67</f>
        <v>1818.6000000000001</v>
      </c>
      <c r="S67" s="84">
        <f>2.5-0.3+1816.4</f>
        <v>1818.6000000000001</v>
      </c>
      <c r="T67" s="84"/>
      <c r="U67" s="84">
        <f>V67+W67</f>
        <v>1818.6000000000001</v>
      </c>
      <c r="V67" s="84">
        <f>2.5-0.3+1816.4</f>
        <v>1818.6000000000001</v>
      </c>
      <c r="W67" s="84"/>
      <c r="X67" s="43"/>
      <c r="Y67" s="40"/>
      <c r="Z67" s="40"/>
      <c r="AA67" s="40"/>
      <c r="AB67" s="40"/>
      <c r="AC67" s="40"/>
      <c r="AD67" s="40"/>
    </row>
    <row r="68" spans="1:30" s="41" customFormat="1" ht="192" customHeight="1">
      <c r="A68" s="39"/>
      <c r="B68" s="57"/>
      <c r="C68" s="58" t="s">
        <v>290</v>
      </c>
      <c r="D68" s="86" t="s">
        <v>291</v>
      </c>
      <c r="E68" s="86" t="s">
        <v>287</v>
      </c>
      <c r="F68" s="86" t="s">
        <v>292</v>
      </c>
      <c r="G68" s="98" t="s">
        <v>385</v>
      </c>
      <c r="H68" s="97" t="s">
        <v>166</v>
      </c>
      <c r="I68" s="101" t="s">
        <v>386</v>
      </c>
      <c r="J68" s="88" t="s">
        <v>382</v>
      </c>
      <c r="K68" s="88" t="s">
        <v>384</v>
      </c>
      <c r="L68" s="84">
        <f>1386+186.6</f>
        <v>1572.6</v>
      </c>
      <c r="M68" s="84">
        <f>1386+186.6</f>
        <v>1572.6</v>
      </c>
      <c r="N68" s="84">
        <v>298.4</v>
      </c>
      <c r="O68" s="84">
        <f>P68</f>
        <v>5789.9</v>
      </c>
      <c r="P68" s="84">
        <f>1008+4781.9</f>
        <v>5789.9</v>
      </c>
      <c r="Q68" s="84"/>
      <c r="R68" s="84">
        <f>S68</f>
        <v>5013</v>
      </c>
      <c r="S68" s="84">
        <v>5013</v>
      </c>
      <c r="T68" s="84"/>
      <c r="U68" s="84">
        <f>V68</f>
        <v>5013</v>
      </c>
      <c r="V68" s="84">
        <v>5013</v>
      </c>
      <c r="W68" s="84"/>
      <c r="X68" s="43"/>
      <c r="Y68" s="40"/>
      <c r="Z68" s="40"/>
      <c r="AA68" s="40"/>
      <c r="AB68" s="40"/>
      <c r="AC68" s="40"/>
      <c r="AD68" s="40"/>
    </row>
    <row r="69" spans="1:30" s="41" customFormat="1" ht="120" customHeight="1">
      <c r="A69" s="39"/>
      <c r="B69" s="57"/>
      <c r="C69" s="125" t="s">
        <v>389</v>
      </c>
      <c r="D69" s="126"/>
      <c r="E69" s="126"/>
      <c r="F69" s="131"/>
      <c r="G69" s="125" t="s">
        <v>390</v>
      </c>
      <c r="H69" s="126" t="s">
        <v>348</v>
      </c>
      <c r="I69" s="128" t="s">
        <v>391</v>
      </c>
      <c r="J69" s="129" t="s">
        <v>22</v>
      </c>
      <c r="K69" s="130" t="s">
        <v>23</v>
      </c>
      <c r="L69" s="159">
        <v>180.5</v>
      </c>
      <c r="M69" s="160">
        <v>177.7</v>
      </c>
      <c r="N69" s="161">
        <v>166.7</v>
      </c>
      <c r="O69" s="159">
        <v>305</v>
      </c>
      <c r="P69" s="160">
        <v>305</v>
      </c>
      <c r="Q69" s="160"/>
      <c r="R69" s="159">
        <v>305</v>
      </c>
      <c r="S69" s="160">
        <v>305</v>
      </c>
      <c r="T69" s="160"/>
      <c r="U69" s="159">
        <v>305</v>
      </c>
      <c r="V69" s="160">
        <v>305</v>
      </c>
      <c r="W69" s="160"/>
      <c r="X69" s="43"/>
      <c r="Y69" s="40"/>
      <c r="Z69" s="40"/>
      <c r="AA69" s="40"/>
      <c r="AB69" s="40"/>
      <c r="AC69" s="40"/>
      <c r="AD69" s="40"/>
    </row>
    <row r="70" spans="1:30" s="41" customFormat="1" ht="106.5" customHeight="1">
      <c r="A70" s="39"/>
      <c r="B70" s="57"/>
      <c r="C70" s="125" t="s">
        <v>392</v>
      </c>
      <c r="D70" s="127" t="s">
        <v>393</v>
      </c>
      <c r="E70" s="126" t="s">
        <v>394</v>
      </c>
      <c r="F70" s="128" t="s">
        <v>395</v>
      </c>
      <c r="G70" s="127" t="s">
        <v>396</v>
      </c>
      <c r="H70" s="126" t="s">
        <v>348</v>
      </c>
      <c r="I70" s="128" t="s">
        <v>397</v>
      </c>
      <c r="J70" s="130" t="s">
        <v>22</v>
      </c>
      <c r="K70" s="130" t="s">
        <v>23</v>
      </c>
      <c r="L70" s="162">
        <v>2198.8</v>
      </c>
      <c r="M70" s="160">
        <v>2198.8</v>
      </c>
      <c r="N70" s="160">
        <v>4012</v>
      </c>
      <c r="O70" s="162">
        <v>3143.5</v>
      </c>
      <c r="P70" s="160">
        <v>3143.5</v>
      </c>
      <c r="Q70" s="160"/>
      <c r="R70" s="162">
        <v>3143.5</v>
      </c>
      <c r="S70" s="160">
        <v>3143.5</v>
      </c>
      <c r="T70" s="160"/>
      <c r="U70" s="162">
        <v>3143.5</v>
      </c>
      <c r="V70" s="160">
        <v>3143.5</v>
      </c>
      <c r="W70" s="160"/>
      <c r="X70" s="43"/>
      <c r="Y70" s="40"/>
      <c r="Z70" s="40"/>
      <c r="AA70" s="40"/>
      <c r="AB70" s="40"/>
      <c r="AC70" s="40"/>
      <c r="AD70" s="40"/>
    </row>
    <row r="71" spans="1:30" s="41" customFormat="1" ht="75" customHeight="1">
      <c r="A71" s="39"/>
      <c r="B71" s="57"/>
      <c r="C71" s="125" t="s">
        <v>398</v>
      </c>
      <c r="D71" s="126"/>
      <c r="E71" s="126"/>
      <c r="F71" s="128"/>
      <c r="G71" s="132" t="s">
        <v>399</v>
      </c>
      <c r="H71" s="128" t="s">
        <v>400</v>
      </c>
      <c r="I71" s="128" t="s">
        <v>401</v>
      </c>
      <c r="J71" s="130" t="s">
        <v>22</v>
      </c>
      <c r="K71" s="130" t="s">
        <v>23</v>
      </c>
      <c r="L71" s="162">
        <v>1193.7</v>
      </c>
      <c r="M71" s="160">
        <v>1193.7</v>
      </c>
      <c r="N71" s="160">
        <v>4993.6</v>
      </c>
      <c r="O71" s="162">
        <v>5329.4</v>
      </c>
      <c r="P71" s="160">
        <v>5329.4</v>
      </c>
      <c r="Q71" s="160"/>
      <c r="R71" s="162">
        <v>5329.4</v>
      </c>
      <c r="S71" s="160">
        <v>5329.4</v>
      </c>
      <c r="T71" s="160"/>
      <c r="U71" s="162">
        <v>5329.4</v>
      </c>
      <c r="V71" s="160">
        <v>5329.4</v>
      </c>
      <c r="W71" s="160"/>
      <c r="X71" s="43"/>
      <c r="Y71" s="40"/>
      <c r="Z71" s="40"/>
      <c r="AA71" s="40"/>
      <c r="AB71" s="40"/>
      <c r="AC71" s="40"/>
      <c r="AD71" s="40"/>
    </row>
    <row r="72" spans="1:30" s="41" customFormat="1" ht="74.25" customHeight="1">
      <c r="A72" s="39"/>
      <c r="B72" s="57"/>
      <c r="C72" s="125" t="s">
        <v>402</v>
      </c>
      <c r="D72" s="126"/>
      <c r="E72" s="126"/>
      <c r="F72" s="126"/>
      <c r="G72" s="127" t="s">
        <v>396</v>
      </c>
      <c r="H72" s="126" t="s">
        <v>348</v>
      </c>
      <c r="I72" s="128" t="s">
        <v>403</v>
      </c>
      <c r="J72" s="130" t="s">
        <v>22</v>
      </c>
      <c r="K72" s="130" t="s">
        <v>23</v>
      </c>
      <c r="L72" s="162">
        <v>4314.5</v>
      </c>
      <c r="M72" s="160">
        <v>4314.5</v>
      </c>
      <c r="N72" s="160">
        <v>8656.4</v>
      </c>
      <c r="O72" s="162">
        <v>6479.9</v>
      </c>
      <c r="P72" s="162">
        <v>6479.9</v>
      </c>
      <c r="Q72" s="160"/>
      <c r="R72" s="162">
        <v>6479.9</v>
      </c>
      <c r="S72" s="162">
        <v>6479.9</v>
      </c>
      <c r="T72" s="160"/>
      <c r="U72" s="162">
        <v>6479.9</v>
      </c>
      <c r="V72" s="162">
        <v>6479.9</v>
      </c>
      <c r="W72" s="160"/>
      <c r="X72" s="43"/>
      <c r="Y72" s="40"/>
      <c r="Z72" s="40"/>
      <c r="AA72" s="40"/>
      <c r="AB72" s="40"/>
      <c r="AC72" s="40"/>
      <c r="AD72" s="40"/>
    </row>
    <row r="73" spans="1:30" s="41" customFormat="1" ht="105.75" customHeight="1">
      <c r="A73" s="39"/>
      <c r="B73" s="57"/>
      <c r="C73" s="125" t="s">
        <v>404</v>
      </c>
      <c r="D73" s="127" t="s">
        <v>393</v>
      </c>
      <c r="E73" s="128" t="s">
        <v>348</v>
      </c>
      <c r="F73" s="128" t="s">
        <v>395</v>
      </c>
      <c r="G73" s="127" t="s">
        <v>396</v>
      </c>
      <c r="H73" s="128" t="s">
        <v>348</v>
      </c>
      <c r="I73" s="128" t="s">
        <v>397</v>
      </c>
      <c r="J73" s="130" t="s">
        <v>22</v>
      </c>
      <c r="K73" s="130" t="s">
        <v>23</v>
      </c>
      <c r="L73" s="162">
        <v>2153.5</v>
      </c>
      <c r="M73" s="160">
        <v>2153.5</v>
      </c>
      <c r="N73" s="160">
        <v>1115.4</v>
      </c>
      <c r="O73" s="162">
        <v>1356.5</v>
      </c>
      <c r="P73" s="160">
        <v>1356.5</v>
      </c>
      <c r="Q73" s="160"/>
      <c r="R73" s="162">
        <v>1356.5</v>
      </c>
      <c r="S73" s="160">
        <v>1356.5</v>
      </c>
      <c r="T73" s="160"/>
      <c r="U73" s="162">
        <v>1356.5</v>
      </c>
      <c r="V73" s="160">
        <v>1356.5</v>
      </c>
      <c r="W73" s="160"/>
      <c r="X73" s="43"/>
      <c r="Y73" s="40"/>
      <c r="Z73" s="40"/>
      <c r="AA73" s="40"/>
      <c r="AB73" s="40"/>
      <c r="AC73" s="40"/>
      <c r="AD73" s="40"/>
    </row>
    <row r="74" spans="1:30" s="41" customFormat="1" ht="108" customHeight="1">
      <c r="A74" s="39"/>
      <c r="B74" s="57"/>
      <c r="C74" s="125" t="s">
        <v>405</v>
      </c>
      <c r="D74" s="127" t="s">
        <v>393</v>
      </c>
      <c r="E74" s="126" t="s">
        <v>394</v>
      </c>
      <c r="F74" s="128" t="s">
        <v>395</v>
      </c>
      <c r="G74" s="132" t="s">
        <v>399</v>
      </c>
      <c r="H74" s="126" t="s">
        <v>348</v>
      </c>
      <c r="I74" s="128" t="s">
        <v>406</v>
      </c>
      <c r="J74" s="130" t="s">
        <v>22</v>
      </c>
      <c r="K74" s="130" t="s">
        <v>23</v>
      </c>
      <c r="L74" s="160">
        <v>306.1</v>
      </c>
      <c r="M74" s="160">
        <v>306.1</v>
      </c>
      <c r="N74" s="160">
        <v>6410.8</v>
      </c>
      <c r="O74" s="162"/>
      <c r="P74" s="160"/>
      <c r="Q74" s="160"/>
      <c r="R74" s="162"/>
      <c r="S74" s="160"/>
      <c r="T74" s="160"/>
      <c r="U74" s="162"/>
      <c r="V74" s="160"/>
      <c r="W74" s="160"/>
      <c r="X74" s="43"/>
      <c r="Y74" s="40"/>
      <c r="Z74" s="40"/>
      <c r="AA74" s="40"/>
      <c r="AB74" s="40"/>
      <c r="AC74" s="40"/>
      <c r="AD74" s="40"/>
    </row>
    <row r="75" spans="1:30" s="41" customFormat="1" ht="259.5" customHeight="1">
      <c r="A75" s="39"/>
      <c r="B75" s="57"/>
      <c r="C75" s="51" t="s">
        <v>456</v>
      </c>
      <c r="D75" s="86" t="s">
        <v>200</v>
      </c>
      <c r="E75" s="86" t="s">
        <v>201</v>
      </c>
      <c r="F75" s="86" t="s">
        <v>202</v>
      </c>
      <c r="G75" s="86" t="s">
        <v>203</v>
      </c>
      <c r="H75" s="97" t="s">
        <v>439</v>
      </c>
      <c r="I75" s="98" t="s">
        <v>205</v>
      </c>
      <c r="J75" s="88" t="s">
        <v>206</v>
      </c>
      <c r="K75" s="88" t="s">
        <v>110</v>
      </c>
      <c r="L75" s="84">
        <v>1848.8</v>
      </c>
      <c r="M75" s="83">
        <v>1666.1</v>
      </c>
      <c r="N75" s="83">
        <v>5605.8</v>
      </c>
      <c r="O75" s="83">
        <v>5156.4</v>
      </c>
      <c r="P75" s="83">
        <v>5156.4</v>
      </c>
      <c r="Q75" s="83">
        <v>0</v>
      </c>
      <c r="R75" s="83">
        <v>5156.4</v>
      </c>
      <c r="S75" s="83">
        <v>5156.4</v>
      </c>
      <c r="T75" s="83">
        <v>0</v>
      </c>
      <c r="U75" s="83">
        <v>5433.8</v>
      </c>
      <c r="V75" s="83">
        <v>5433.8</v>
      </c>
      <c r="W75" s="83">
        <v>0</v>
      </c>
      <c r="X75" s="43"/>
      <c r="Y75" s="40"/>
      <c r="Z75" s="40"/>
      <c r="AA75" s="40"/>
      <c r="AB75" s="40"/>
      <c r="AC75" s="40"/>
      <c r="AD75" s="40"/>
    </row>
    <row r="76" spans="1:30" s="41" customFormat="1" ht="251.25" customHeight="1">
      <c r="A76" s="39"/>
      <c r="B76" s="57"/>
      <c r="C76" s="51" t="s">
        <v>457</v>
      </c>
      <c r="D76" s="86" t="s">
        <v>200</v>
      </c>
      <c r="E76" s="86" t="s">
        <v>201</v>
      </c>
      <c r="F76" s="86" t="s">
        <v>202</v>
      </c>
      <c r="G76" s="86" t="s">
        <v>203</v>
      </c>
      <c r="H76" s="97" t="s">
        <v>439</v>
      </c>
      <c r="I76" s="98" t="s">
        <v>205</v>
      </c>
      <c r="J76" s="88" t="s">
        <v>206</v>
      </c>
      <c r="K76" s="88" t="s">
        <v>110</v>
      </c>
      <c r="L76" s="84">
        <v>243.7</v>
      </c>
      <c r="M76" s="83">
        <v>235.1</v>
      </c>
      <c r="N76" s="83">
        <v>205</v>
      </c>
      <c r="O76" s="83">
        <v>205</v>
      </c>
      <c r="P76" s="83">
        <v>205</v>
      </c>
      <c r="Q76" s="83">
        <v>0</v>
      </c>
      <c r="R76" s="83">
        <v>205</v>
      </c>
      <c r="S76" s="83">
        <v>205</v>
      </c>
      <c r="T76" s="83">
        <v>0</v>
      </c>
      <c r="U76" s="83">
        <v>205</v>
      </c>
      <c r="V76" s="83">
        <v>205</v>
      </c>
      <c r="W76" s="83">
        <v>0</v>
      </c>
      <c r="X76" s="43"/>
      <c r="Y76" s="40"/>
      <c r="Z76" s="40"/>
      <c r="AA76" s="40"/>
      <c r="AB76" s="40"/>
      <c r="AC76" s="40"/>
      <c r="AD76" s="40"/>
    </row>
    <row r="77" spans="1:30" s="41" customFormat="1" ht="141.75" customHeight="1">
      <c r="A77" s="39"/>
      <c r="B77" s="57"/>
      <c r="C77" s="125" t="s">
        <v>458</v>
      </c>
      <c r="D77" s="127" t="s">
        <v>393</v>
      </c>
      <c r="E77" s="126" t="s">
        <v>394</v>
      </c>
      <c r="F77" s="128" t="s">
        <v>395</v>
      </c>
      <c r="G77" s="127" t="s">
        <v>407</v>
      </c>
      <c r="H77" s="128" t="s">
        <v>348</v>
      </c>
      <c r="I77" s="128"/>
      <c r="J77" s="130" t="s">
        <v>22</v>
      </c>
      <c r="K77" s="130" t="s">
        <v>23</v>
      </c>
      <c r="L77" s="160"/>
      <c r="M77" s="160"/>
      <c r="N77" s="160"/>
      <c r="O77" s="162">
        <v>201.6</v>
      </c>
      <c r="P77" s="160">
        <v>201.6</v>
      </c>
      <c r="Q77" s="160"/>
      <c r="R77" s="162">
        <v>201.6</v>
      </c>
      <c r="S77" s="160">
        <v>201.6</v>
      </c>
      <c r="T77" s="160"/>
      <c r="U77" s="162">
        <v>1122.2</v>
      </c>
      <c r="V77" s="160">
        <v>1122.2</v>
      </c>
      <c r="W77" s="160"/>
      <c r="X77" s="43"/>
      <c r="Y77" s="40"/>
      <c r="Z77" s="40"/>
      <c r="AA77" s="40"/>
      <c r="AB77" s="40"/>
      <c r="AC77" s="40"/>
      <c r="AD77" s="40"/>
    </row>
    <row r="78" spans="1:30" s="41" customFormat="1" ht="141" customHeight="1">
      <c r="A78" s="39"/>
      <c r="B78" s="57"/>
      <c r="C78" s="125" t="s">
        <v>459</v>
      </c>
      <c r="D78" s="127" t="s">
        <v>393</v>
      </c>
      <c r="E78" s="126" t="s">
        <v>394</v>
      </c>
      <c r="F78" s="128" t="s">
        <v>395</v>
      </c>
      <c r="G78" s="127" t="s">
        <v>407</v>
      </c>
      <c r="H78" s="128" t="s">
        <v>348</v>
      </c>
      <c r="I78" s="128"/>
      <c r="J78" s="130" t="s">
        <v>22</v>
      </c>
      <c r="K78" s="130" t="s">
        <v>23</v>
      </c>
      <c r="L78" s="160"/>
      <c r="M78" s="160"/>
      <c r="N78" s="160"/>
      <c r="O78" s="162">
        <v>3830</v>
      </c>
      <c r="P78" s="160">
        <v>3830</v>
      </c>
      <c r="Q78" s="160"/>
      <c r="R78" s="162">
        <v>3830</v>
      </c>
      <c r="S78" s="160">
        <v>3830</v>
      </c>
      <c r="T78" s="160"/>
      <c r="U78" s="162">
        <v>3553.3</v>
      </c>
      <c r="V78" s="160">
        <v>3553.3</v>
      </c>
      <c r="W78" s="160"/>
      <c r="X78" s="43"/>
      <c r="Y78" s="40"/>
      <c r="Z78" s="40"/>
      <c r="AA78" s="40"/>
      <c r="AB78" s="40"/>
      <c r="AC78" s="40"/>
      <c r="AD78" s="40"/>
    </row>
    <row r="79" spans="1:30" s="41" customFormat="1" ht="87.75" customHeight="1">
      <c r="A79" s="39"/>
      <c r="B79" s="77"/>
      <c r="C79" s="59" t="s">
        <v>259</v>
      </c>
      <c r="D79" s="78" t="s">
        <v>19</v>
      </c>
      <c r="E79" s="78" t="s">
        <v>19</v>
      </c>
      <c r="F79" s="137" t="s">
        <v>19</v>
      </c>
      <c r="G79" s="137" t="s">
        <v>19</v>
      </c>
      <c r="H79" s="137" t="s">
        <v>19</v>
      </c>
      <c r="I79" s="137" t="s">
        <v>19</v>
      </c>
      <c r="J79" s="138" t="s">
        <v>19</v>
      </c>
      <c r="K79" s="138" t="s">
        <v>19</v>
      </c>
      <c r="L79" s="139">
        <f>L80+L81+L82+L83+L88</f>
        <v>66943</v>
      </c>
      <c r="M79" s="139">
        <f aca="true" t="shared" si="5" ref="M79:W79">M80+M81+M82+M83+M88</f>
        <v>66943</v>
      </c>
      <c r="N79" s="139">
        <f t="shared" si="5"/>
        <v>68724.7</v>
      </c>
      <c r="O79" s="139">
        <f t="shared" si="5"/>
        <v>136936.4</v>
      </c>
      <c r="P79" s="139">
        <f t="shared" si="5"/>
        <v>136936.4</v>
      </c>
      <c r="Q79" s="139">
        <f t="shared" si="5"/>
        <v>0</v>
      </c>
      <c r="R79" s="139">
        <f t="shared" si="5"/>
        <v>66286.5</v>
      </c>
      <c r="S79" s="139">
        <f t="shared" si="5"/>
        <v>66286.5</v>
      </c>
      <c r="T79" s="139">
        <f t="shared" si="5"/>
        <v>0</v>
      </c>
      <c r="U79" s="139">
        <f t="shared" si="5"/>
        <v>64801.6</v>
      </c>
      <c r="V79" s="139">
        <f t="shared" si="5"/>
        <v>64801.6</v>
      </c>
      <c r="W79" s="139">
        <f t="shared" si="5"/>
        <v>0</v>
      </c>
      <c r="X79" s="39"/>
      <c r="Y79" s="40"/>
      <c r="Z79" s="40"/>
      <c r="AA79" s="40"/>
      <c r="AB79" s="40"/>
      <c r="AC79" s="40"/>
      <c r="AD79" s="40"/>
    </row>
    <row r="80" spans="1:30" s="41" customFormat="1" ht="72" customHeight="1">
      <c r="A80" s="39"/>
      <c r="B80" s="77"/>
      <c r="C80" s="74" t="s">
        <v>260</v>
      </c>
      <c r="D80" s="80" t="s">
        <v>47</v>
      </c>
      <c r="E80" s="80" t="s">
        <v>342</v>
      </c>
      <c r="F80" s="80" t="s">
        <v>199</v>
      </c>
      <c r="G80" s="81" t="s">
        <v>343</v>
      </c>
      <c r="H80" s="81" t="s">
        <v>344</v>
      </c>
      <c r="I80" s="81" t="s">
        <v>345</v>
      </c>
      <c r="J80" s="82" t="s">
        <v>346</v>
      </c>
      <c r="K80" s="82" t="s">
        <v>21</v>
      </c>
      <c r="L80" s="83">
        <v>23847.3</v>
      </c>
      <c r="M80" s="83">
        <v>23847.3</v>
      </c>
      <c r="N80" s="85">
        <v>23854</v>
      </c>
      <c r="O80" s="85">
        <f>P80+Q80</f>
        <v>25256</v>
      </c>
      <c r="P80" s="85">
        <v>25256</v>
      </c>
      <c r="Q80" s="85">
        <v>0</v>
      </c>
      <c r="R80" s="85">
        <f>S80+T80</f>
        <v>21258.1</v>
      </c>
      <c r="S80" s="85">
        <v>21258.1</v>
      </c>
      <c r="T80" s="85">
        <v>0</v>
      </c>
      <c r="U80" s="85">
        <f>V80+W80</f>
        <v>21267</v>
      </c>
      <c r="V80" s="85">
        <v>21267</v>
      </c>
      <c r="W80" s="85">
        <v>0</v>
      </c>
      <c r="X80" s="39"/>
      <c r="Y80" s="40"/>
      <c r="Z80" s="40"/>
      <c r="AA80" s="40"/>
      <c r="AB80" s="40"/>
      <c r="AC80" s="40"/>
      <c r="AD80" s="40"/>
    </row>
    <row r="81" spans="1:30" s="41" customFormat="1" ht="38.25" customHeight="1">
      <c r="A81" s="39"/>
      <c r="B81" s="77"/>
      <c r="C81" s="71" t="s">
        <v>261</v>
      </c>
      <c r="D81" s="102"/>
      <c r="E81" s="102"/>
      <c r="F81" s="102"/>
      <c r="G81" s="102"/>
      <c r="H81" s="102"/>
      <c r="I81" s="102"/>
      <c r="J81" s="102"/>
      <c r="K81" s="102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39"/>
      <c r="Y81" s="40"/>
      <c r="Z81" s="40"/>
      <c r="AA81" s="40"/>
      <c r="AB81" s="40"/>
      <c r="AC81" s="40"/>
      <c r="AD81" s="40"/>
    </row>
    <row r="82" spans="1:30" s="41" customFormat="1" ht="109.5" customHeight="1">
      <c r="A82" s="39"/>
      <c r="B82" s="77"/>
      <c r="C82" s="74" t="s">
        <v>262</v>
      </c>
      <c r="D82" s="103" t="s">
        <v>19</v>
      </c>
      <c r="E82" s="103" t="s">
        <v>19</v>
      </c>
      <c r="F82" s="103" t="s">
        <v>19</v>
      </c>
      <c r="G82" s="104" t="s">
        <v>347</v>
      </c>
      <c r="H82" s="105" t="s">
        <v>348</v>
      </c>
      <c r="I82" s="106" t="s">
        <v>349</v>
      </c>
      <c r="J82" s="107" t="s">
        <v>110</v>
      </c>
      <c r="K82" s="107" t="s">
        <v>25</v>
      </c>
      <c r="L82" s="83">
        <v>361.1</v>
      </c>
      <c r="M82" s="84">
        <v>361.1</v>
      </c>
      <c r="N82" s="85">
        <v>375.5</v>
      </c>
      <c r="O82" s="85">
        <f>P82+Q82</f>
        <v>384.8</v>
      </c>
      <c r="P82" s="85">
        <v>384.8</v>
      </c>
      <c r="Q82" s="85">
        <v>0</v>
      </c>
      <c r="R82" s="85">
        <f>S82+T82</f>
        <v>397.1</v>
      </c>
      <c r="S82" s="85">
        <v>397.1</v>
      </c>
      <c r="T82" s="85">
        <v>0</v>
      </c>
      <c r="U82" s="85">
        <f>V82+W82</f>
        <v>410.4</v>
      </c>
      <c r="V82" s="85">
        <v>410.4</v>
      </c>
      <c r="W82" s="85">
        <v>0</v>
      </c>
      <c r="X82" s="39"/>
      <c r="Y82" s="40"/>
      <c r="Z82" s="40"/>
      <c r="AA82" s="40"/>
      <c r="AB82" s="40"/>
      <c r="AC82" s="40"/>
      <c r="AD82" s="40"/>
    </row>
    <row r="83" spans="1:30" s="41" customFormat="1" ht="34.5" customHeight="1">
      <c r="A83" s="39"/>
      <c r="B83" s="77"/>
      <c r="C83" s="71" t="s">
        <v>264</v>
      </c>
      <c r="D83" s="108" t="s">
        <v>19</v>
      </c>
      <c r="E83" s="108" t="s">
        <v>19</v>
      </c>
      <c r="F83" s="108" t="s">
        <v>19</v>
      </c>
      <c r="G83" s="108" t="s">
        <v>19</v>
      </c>
      <c r="H83" s="108" t="s">
        <v>19</v>
      </c>
      <c r="I83" s="108" t="s">
        <v>19</v>
      </c>
      <c r="J83" s="108" t="s">
        <v>19</v>
      </c>
      <c r="K83" s="108" t="s">
        <v>19</v>
      </c>
      <c r="L83" s="83">
        <f>L84+L87</f>
        <v>42734.6</v>
      </c>
      <c r="M83" s="83">
        <f>M84+M87</f>
        <v>42734.6</v>
      </c>
      <c r="N83" s="83">
        <f>N84+N87</f>
        <v>44345.2</v>
      </c>
      <c r="O83" s="83">
        <f>P83+Q83</f>
        <v>111295.6</v>
      </c>
      <c r="P83" s="83">
        <f>P84+P87</f>
        <v>111295.6</v>
      </c>
      <c r="Q83" s="83"/>
      <c r="R83" s="83">
        <f>S83+T83</f>
        <v>44631.3</v>
      </c>
      <c r="S83" s="83">
        <f>S84+S87</f>
        <v>44631.3</v>
      </c>
      <c r="T83" s="83"/>
      <c r="U83" s="83">
        <f>V83+W83</f>
        <v>43124.2</v>
      </c>
      <c r="V83" s="83">
        <f>V84+V87</f>
        <v>43124.2</v>
      </c>
      <c r="W83" s="83"/>
      <c r="X83" s="39"/>
      <c r="Y83" s="40"/>
      <c r="Z83" s="40"/>
      <c r="AA83" s="40"/>
      <c r="AB83" s="40"/>
      <c r="AC83" s="40"/>
      <c r="AD83" s="40"/>
    </row>
    <row r="84" spans="1:30" s="41" customFormat="1" ht="67.5" customHeight="1">
      <c r="A84" s="39"/>
      <c r="B84" s="77"/>
      <c r="C84" s="71" t="s">
        <v>265</v>
      </c>
      <c r="D84" s="108" t="s">
        <v>19</v>
      </c>
      <c r="E84" s="108" t="s">
        <v>19</v>
      </c>
      <c r="F84" s="108" t="s">
        <v>19</v>
      </c>
      <c r="G84" s="108" t="s">
        <v>19</v>
      </c>
      <c r="H84" s="108" t="s">
        <v>19</v>
      </c>
      <c r="I84" s="108" t="s">
        <v>19</v>
      </c>
      <c r="J84" s="108" t="s">
        <v>19</v>
      </c>
      <c r="K84" s="108" t="s">
        <v>19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39"/>
      <c r="Y84" s="40"/>
      <c r="Z84" s="40"/>
      <c r="AA84" s="40"/>
      <c r="AB84" s="40"/>
      <c r="AC84" s="40"/>
      <c r="AD84" s="40"/>
    </row>
    <row r="85" spans="1:30" s="41" customFormat="1" ht="15" customHeight="1">
      <c r="A85" s="39"/>
      <c r="B85" s="77"/>
      <c r="C85" s="71" t="s">
        <v>263</v>
      </c>
      <c r="D85" s="102"/>
      <c r="E85" s="102"/>
      <c r="F85" s="102"/>
      <c r="G85" s="102"/>
      <c r="H85" s="102"/>
      <c r="I85" s="102"/>
      <c r="J85" s="102"/>
      <c r="K85" s="102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39"/>
      <c r="Y85" s="40"/>
      <c r="Z85" s="40"/>
      <c r="AA85" s="40"/>
      <c r="AB85" s="40"/>
      <c r="AC85" s="40"/>
      <c r="AD85" s="40"/>
    </row>
    <row r="86" spans="1:30" s="41" customFormat="1" ht="15.75" customHeight="1">
      <c r="A86" s="39"/>
      <c r="B86" s="77"/>
      <c r="C86" s="71" t="s">
        <v>7</v>
      </c>
      <c r="D86" s="102"/>
      <c r="E86" s="102"/>
      <c r="F86" s="102"/>
      <c r="G86" s="102"/>
      <c r="H86" s="102"/>
      <c r="I86" s="102"/>
      <c r="J86" s="102"/>
      <c r="K86" s="102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39"/>
      <c r="Y86" s="40"/>
      <c r="Z86" s="40"/>
      <c r="AA86" s="40"/>
      <c r="AB86" s="40"/>
      <c r="AC86" s="40"/>
      <c r="AD86" s="40"/>
    </row>
    <row r="87" spans="1:30" s="41" customFormat="1" ht="66" customHeight="1">
      <c r="A87" s="39"/>
      <c r="B87" s="77"/>
      <c r="C87" s="60" t="s">
        <v>258</v>
      </c>
      <c r="D87" s="86" t="s">
        <v>275</v>
      </c>
      <c r="E87" s="86" t="s">
        <v>278</v>
      </c>
      <c r="F87" s="86" t="s">
        <v>276</v>
      </c>
      <c r="G87" s="109"/>
      <c r="H87" s="109"/>
      <c r="I87" s="109"/>
      <c r="J87" s="110" t="s">
        <v>350</v>
      </c>
      <c r="K87" s="110" t="s">
        <v>351</v>
      </c>
      <c r="L87" s="99">
        <f>547.1+3831.8+1913+36442.7</f>
        <v>42734.6</v>
      </c>
      <c r="M87" s="99">
        <f>4561+1731-0.1+36442.7</f>
        <v>42734.6</v>
      </c>
      <c r="N87" s="99">
        <f>407.2+10369.9+33568.1</f>
        <v>44345.2</v>
      </c>
      <c r="O87" s="99">
        <f>P87+Q87</f>
        <v>111295.6</v>
      </c>
      <c r="P87" s="99">
        <f>72140.2+4000+35155.4</f>
        <v>111295.6</v>
      </c>
      <c r="Q87" s="99"/>
      <c r="R87" s="99">
        <f>S87+T87</f>
        <v>44631.3</v>
      </c>
      <c r="S87" s="99">
        <f>72140.2-66031.2+4000+34522.3</f>
        <v>44631.3</v>
      </c>
      <c r="T87" s="99"/>
      <c r="U87" s="99">
        <f>V87+W87</f>
        <v>43124.2</v>
      </c>
      <c r="V87" s="99">
        <f>72140.2-66031.2+354.9+4000+32660.3</f>
        <v>43124.2</v>
      </c>
      <c r="W87" s="99"/>
      <c r="X87" s="39"/>
      <c r="Y87" s="40"/>
      <c r="Z87" s="40"/>
      <c r="AA87" s="40"/>
      <c r="AB87" s="40"/>
      <c r="AC87" s="40"/>
      <c r="AD87" s="40"/>
    </row>
    <row r="88" spans="1:30" s="41" customFormat="1" ht="66" customHeight="1">
      <c r="A88" s="39"/>
      <c r="B88" s="116"/>
      <c r="C88" s="133" t="s">
        <v>408</v>
      </c>
      <c r="D88" s="134"/>
      <c r="E88" s="134"/>
      <c r="F88" s="134"/>
      <c r="G88" s="134"/>
      <c r="H88" s="134"/>
      <c r="I88" s="130"/>
      <c r="J88" s="134"/>
      <c r="K88" s="134"/>
      <c r="L88" s="160"/>
      <c r="M88" s="160"/>
      <c r="N88" s="160" t="str">
        <f>N89</f>
        <v>150,0</v>
      </c>
      <c r="O88" s="160"/>
      <c r="P88" s="160"/>
      <c r="Q88" s="160"/>
      <c r="R88" s="160"/>
      <c r="S88" s="160"/>
      <c r="T88" s="160"/>
      <c r="U88" s="160"/>
      <c r="V88" s="160"/>
      <c r="W88" s="160"/>
      <c r="X88" s="39"/>
      <c r="Y88" s="40"/>
      <c r="Z88" s="40"/>
      <c r="AA88" s="40"/>
      <c r="AB88" s="40"/>
      <c r="AC88" s="40"/>
      <c r="AD88" s="40"/>
    </row>
    <row r="89" spans="1:30" s="41" customFormat="1" ht="151.5" customHeight="1">
      <c r="A89" s="39"/>
      <c r="B89" s="116"/>
      <c r="C89" s="133" t="s">
        <v>409</v>
      </c>
      <c r="D89" s="134"/>
      <c r="E89" s="134"/>
      <c r="F89" s="134"/>
      <c r="G89" s="135" t="s">
        <v>410</v>
      </c>
      <c r="H89" s="134" t="s">
        <v>348</v>
      </c>
      <c r="I89" s="128" t="s">
        <v>411</v>
      </c>
      <c r="J89" s="136" t="s">
        <v>23</v>
      </c>
      <c r="K89" s="136" t="s">
        <v>25</v>
      </c>
      <c r="L89" s="160"/>
      <c r="M89" s="160"/>
      <c r="N89" s="160" t="s">
        <v>412</v>
      </c>
      <c r="O89" s="160"/>
      <c r="P89" s="160"/>
      <c r="Q89" s="160"/>
      <c r="R89" s="160"/>
      <c r="S89" s="160"/>
      <c r="T89" s="160"/>
      <c r="U89" s="160"/>
      <c r="V89" s="160"/>
      <c r="W89" s="160"/>
      <c r="X89" s="39"/>
      <c r="Y89" s="40"/>
      <c r="Z89" s="40"/>
      <c r="AA89" s="40"/>
      <c r="AB89" s="40"/>
      <c r="AC89" s="40"/>
      <c r="AD89" s="40"/>
    </row>
    <row r="90" spans="2:23" s="41" customFormat="1" ht="66.75" customHeight="1">
      <c r="B90" s="77"/>
      <c r="C90" s="68" t="s">
        <v>18</v>
      </c>
      <c r="D90" s="69"/>
      <c r="E90" s="69"/>
      <c r="F90" s="69"/>
      <c r="G90" s="69"/>
      <c r="H90" s="69"/>
      <c r="I90" s="69"/>
      <c r="J90" s="111"/>
      <c r="K90" s="111"/>
      <c r="L90" s="156">
        <f>L47+L36+L9+L79</f>
        <v>496590.3</v>
      </c>
      <c r="M90" s="156">
        <f>M47+M36+M9+M79</f>
        <v>465082.20000000007</v>
      </c>
      <c r="N90" s="156">
        <f>N47+N36+N9+N79</f>
        <v>624135</v>
      </c>
      <c r="O90" s="156">
        <f>O47+O36+O9+O79</f>
        <v>569619.1</v>
      </c>
      <c r="P90" s="156">
        <f>P47+P36+P9+P79</f>
        <v>569619.1</v>
      </c>
      <c r="Q90" s="156">
        <f>Q47+Q36+Q9</f>
        <v>0</v>
      </c>
      <c r="R90" s="156">
        <f>R47+R36+R9+R79</f>
        <v>480592.5</v>
      </c>
      <c r="S90" s="156">
        <f>S47+S36+S9+S79</f>
        <v>480592.5</v>
      </c>
      <c r="T90" s="156">
        <f>T47+T36+T9</f>
        <v>0</v>
      </c>
      <c r="U90" s="156">
        <f>U47+U36+U9+U79</f>
        <v>490570.3999999999</v>
      </c>
      <c r="V90" s="156">
        <f>V47+V36+V9+V79</f>
        <v>490570.3999999999</v>
      </c>
      <c r="W90" s="156">
        <f>W47+W36+W9</f>
        <v>0</v>
      </c>
    </row>
    <row r="91" spans="3:17" ht="12.75">
      <c r="C91" s="61"/>
      <c r="D91" s="62"/>
      <c r="E91" s="62"/>
      <c r="F91" s="62"/>
      <c r="G91" s="62"/>
      <c r="H91" s="62"/>
      <c r="I91" s="62"/>
      <c r="J91" s="63"/>
      <c r="K91" s="63"/>
      <c r="L91" s="62"/>
      <c r="M91" s="62"/>
      <c r="N91" s="62"/>
      <c r="O91" s="62"/>
      <c r="P91" s="62"/>
      <c r="Q91" s="62"/>
    </row>
    <row r="92" spans="3:17" ht="12.75">
      <c r="C92" s="61"/>
      <c r="D92" s="62"/>
      <c r="E92" s="62"/>
      <c r="F92" s="62"/>
      <c r="G92" s="62"/>
      <c r="H92" s="62"/>
      <c r="I92" s="62"/>
      <c r="J92" s="63"/>
      <c r="K92" s="63"/>
      <c r="L92" s="62"/>
      <c r="M92" s="62"/>
      <c r="N92" s="62"/>
      <c r="O92" s="62"/>
      <c r="P92" s="62"/>
      <c r="Q92" s="62"/>
    </row>
    <row r="93" spans="3:17" ht="12.75">
      <c r="C93" s="61"/>
      <c r="D93" s="62"/>
      <c r="E93" s="62"/>
      <c r="F93" s="62"/>
      <c r="G93" s="62"/>
      <c r="H93" s="62"/>
      <c r="I93" s="62"/>
      <c r="J93" s="63"/>
      <c r="K93" s="63"/>
      <c r="L93" s="62"/>
      <c r="M93" s="62"/>
      <c r="N93" s="62"/>
      <c r="O93" s="62"/>
      <c r="P93" s="62"/>
      <c r="Q93" s="62"/>
    </row>
    <row r="94" spans="3:17" ht="12.75">
      <c r="C94" s="61"/>
      <c r="D94" s="198" t="s">
        <v>368</v>
      </c>
      <c r="E94" s="199"/>
      <c r="F94" s="199"/>
      <c r="G94" s="62"/>
      <c r="H94" s="62"/>
      <c r="I94" s="62"/>
      <c r="J94" s="63"/>
      <c r="K94" s="63"/>
      <c r="L94" s="62"/>
      <c r="M94" s="62"/>
      <c r="N94" s="62"/>
      <c r="O94" s="62"/>
      <c r="P94" s="62"/>
      <c r="Q94" s="62"/>
    </row>
    <row r="95" spans="3:17" ht="12.75">
      <c r="C95" s="61"/>
      <c r="D95" s="62"/>
      <c r="E95" s="62"/>
      <c r="F95" s="62"/>
      <c r="G95" s="62"/>
      <c r="H95" s="62"/>
      <c r="I95" s="62"/>
      <c r="J95" s="63"/>
      <c r="K95" s="63"/>
      <c r="L95" s="62"/>
      <c r="M95" s="62"/>
      <c r="N95" s="62"/>
      <c r="O95" s="62"/>
      <c r="P95" s="62"/>
      <c r="Q95" s="62"/>
    </row>
    <row r="96" spans="3:17" ht="12.75">
      <c r="C96" s="61"/>
      <c r="D96" s="62"/>
      <c r="E96" s="62"/>
      <c r="F96" s="62"/>
      <c r="G96" s="62"/>
      <c r="H96" s="62"/>
      <c r="I96" s="62"/>
      <c r="J96" s="63"/>
      <c r="K96" s="63"/>
      <c r="L96" s="62"/>
      <c r="M96" s="62"/>
      <c r="N96" s="62"/>
      <c r="O96" s="62"/>
      <c r="P96" s="62"/>
      <c r="Q96" s="62"/>
    </row>
    <row r="97" spans="3:17" ht="12.75">
      <c r="C97" s="61"/>
      <c r="D97" s="62"/>
      <c r="E97" s="62"/>
      <c r="F97" s="62"/>
      <c r="G97" s="62"/>
      <c r="H97" s="62"/>
      <c r="I97" s="62"/>
      <c r="J97" s="63"/>
      <c r="K97" s="63"/>
      <c r="L97" s="62"/>
      <c r="M97" s="62"/>
      <c r="N97" s="62"/>
      <c r="O97" s="62"/>
      <c r="P97" s="62"/>
      <c r="Q97" s="62"/>
    </row>
    <row r="98" spans="3:17" ht="12.75">
      <c r="C98" s="61"/>
      <c r="D98" s="62"/>
      <c r="E98" s="62"/>
      <c r="F98" s="62"/>
      <c r="G98" s="62"/>
      <c r="H98" s="62"/>
      <c r="I98" s="62"/>
      <c r="J98" s="63"/>
      <c r="K98" s="63"/>
      <c r="L98" s="62"/>
      <c r="M98" s="62"/>
      <c r="N98" s="62"/>
      <c r="O98" s="62"/>
      <c r="P98" s="62"/>
      <c r="Q98" s="62"/>
    </row>
  </sheetData>
  <sheetProtection/>
  <mergeCells count="79">
    <mergeCell ref="D94:F94"/>
    <mergeCell ref="W9:W10"/>
    <mergeCell ref="S9:S10"/>
    <mergeCell ref="T47:T48"/>
    <mergeCell ref="Q47:Q48"/>
    <mergeCell ref="Q9:Q10"/>
    <mergeCell ref="P47:P48"/>
    <mergeCell ref="U47:U48"/>
    <mergeCell ref="R9:R10"/>
    <mergeCell ref="U9:U10"/>
    <mergeCell ref="H3:L3"/>
    <mergeCell ref="V9:V10"/>
    <mergeCell ref="V47:V48"/>
    <mergeCell ref="M9:M10"/>
    <mergeCell ref="N9:N10"/>
    <mergeCell ref="U6:W6"/>
    <mergeCell ref="W47:W48"/>
    <mergeCell ref="N6:N7"/>
    <mergeCell ref="G6:I6"/>
    <mergeCell ref="L6:M6"/>
    <mergeCell ref="L9:L10"/>
    <mergeCell ref="S47:S48"/>
    <mergeCell ref="N47:N48"/>
    <mergeCell ref="P9:P10"/>
    <mergeCell ref="L47:L48"/>
    <mergeCell ref="M47:M48"/>
    <mergeCell ref="O47:O48"/>
    <mergeCell ref="R47:R48"/>
    <mergeCell ref="O9:O10"/>
    <mergeCell ref="P25:P26"/>
    <mergeCell ref="B47:B48"/>
    <mergeCell ref="D9:D10"/>
    <mergeCell ref="E9:E10"/>
    <mergeCell ref="J9:J10"/>
    <mergeCell ref="G47:G48"/>
    <mergeCell ref="H47:H48"/>
    <mergeCell ref="F47:F48"/>
    <mergeCell ref="C47:C48"/>
    <mergeCell ref="C9:C10"/>
    <mergeCell ref="D47:D48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J5:K6"/>
    <mergeCell ref="G9:G10"/>
    <mergeCell ref="H9:H10"/>
    <mergeCell ref="K47:K48"/>
    <mergeCell ref="I47:I48"/>
    <mergeCell ref="J47:J48"/>
    <mergeCell ref="I9:I10"/>
    <mergeCell ref="K9:K10"/>
    <mergeCell ref="I25:I26"/>
    <mergeCell ref="Q25:Q26"/>
    <mergeCell ref="R25:R26"/>
    <mergeCell ref="S25:S26"/>
    <mergeCell ref="T25:T26"/>
    <mergeCell ref="E47:E48"/>
    <mergeCell ref="J25:J26"/>
    <mergeCell ref="K25:K26"/>
    <mergeCell ref="L25:L26"/>
    <mergeCell ref="M25:M26"/>
    <mergeCell ref="N25:N26"/>
    <mergeCell ref="O25:O26"/>
    <mergeCell ref="U25:U26"/>
    <mergeCell ref="V25:V26"/>
    <mergeCell ref="W25:W26"/>
    <mergeCell ref="C25:C26"/>
    <mergeCell ref="D25:D26"/>
    <mergeCell ref="E25:E26"/>
    <mergeCell ref="F25:F26"/>
    <mergeCell ref="G25:G26"/>
    <mergeCell ref="H25:H26"/>
  </mergeCells>
  <printOptions horizontalCentered="1"/>
  <pageMargins left="0.2362204724409449" right="0.2362204724409449" top="0" bottom="0.15748031496062992" header="0" footer="0.15748031496062992"/>
  <pageSetup firstPageNumber="21" useFirstPageNumber="1" fitToHeight="9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00390625" style="16" customWidth="1"/>
    <col min="2" max="2" width="13.25390625" style="16" customWidth="1"/>
    <col min="3" max="3" width="15.125" style="8" customWidth="1"/>
    <col min="4" max="4" width="13.625" style="8" customWidth="1"/>
    <col min="5" max="5" width="9.625" style="8" bestFit="1" customWidth="1"/>
    <col min="6" max="7" width="37.75390625" style="8" customWidth="1"/>
    <col min="8" max="8" width="7.75390625" style="8" customWidth="1"/>
    <col min="9" max="16384" width="9.125" style="8" customWidth="1"/>
  </cols>
  <sheetData>
    <row r="1" spans="1:8" ht="12.75">
      <c r="A1" s="5"/>
      <c r="B1" s="5"/>
      <c r="C1" s="200" t="s">
        <v>54</v>
      </c>
      <c r="D1" s="200"/>
      <c r="E1" s="200"/>
      <c r="F1" s="6"/>
      <c r="G1" s="6"/>
      <c r="H1" s="7"/>
    </row>
    <row r="2" spans="1:8" ht="12.75">
      <c r="A2" s="5"/>
      <c r="B2" s="201">
        <v>2015</v>
      </c>
      <c r="C2" s="202"/>
      <c r="D2" s="18">
        <v>2016</v>
      </c>
      <c r="E2" s="9"/>
      <c r="F2" s="9"/>
      <c r="G2" s="9"/>
      <c r="H2" s="7"/>
    </row>
    <row r="3" spans="1:8" ht="12.75">
      <c r="A3" s="5"/>
      <c r="B3" s="18" t="s">
        <v>90</v>
      </c>
      <c r="C3" s="17" t="s">
        <v>91</v>
      </c>
      <c r="D3" s="9"/>
      <c r="E3" s="9"/>
      <c r="F3" s="9"/>
      <c r="G3" s="9"/>
      <c r="H3" s="7"/>
    </row>
    <row r="4" spans="1:8" ht="12.75">
      <c r="A4" s="26" t="s">
        <v>98</v>
      </c>
      <c r="B4" s="31">
        <f>9228864.5-933484.6</f>
        <v>8295379.9</v>
      </c>
      <c r="C4" s="31">
        <f>9166497.19-797954.49</f>
        <v>8368542.699999999</v>
      </c>
      <c r="D4" s="19">
        <f>9159400-897730.27</f>
        <v>8261669.73</v>
      </c>
      <c r="E4" s="9"/>
      <c r="F4" s="9"/>
      <c r="G4" s="9"/>
      <c r="H4" s="7"/>
    </row>
    <row r="5" spans="1:8" ht="12.75">
      <c r="A5" s="26" t="s">
        <v>99</v>
      </c>
      <c r="B5" s="31">
        <v>933484.6</v>
      </c>
      <c r="C5" s="31">
        <v>797954.49</v>
      </c>
      <c r="D5" s="19">
        <v>897730.27</v>
      </c>
      <c r="E5" s="9"/>
      <c r="F5" s="9"/>
      <c r="G5" s="9"/>
      <c r="H5" s="7"/>
    </row>
    <row r="6" spans="1:8" ht="12.75">
      <c r="A6" s="26" t="s">
        <v>108</v>
      </c>
      <c r="B6" s="31">
        <f>207936.56+76255+4217123.33+166000+99000+167600</f>
        <v>4933914.89</v>
      </c>
      <c r="C6" s="31">
        <f>207936.56+76255+4190000+165982.13+99000+167600</f>
        <v>4906773.6899999995</v>
      </c>
      <c r="D6" s="19">
        <f>215000+15000+217000+79200</f>
        <v>526200</v>
      </c>
      <c r="E6" s="9"/>
      <c r="F6" s="9"/>
      <c r="G6" s="9"/>
      <c r="H6" s="7"/>
    </row>
    <row r="7" spans="1:8" ht="12.75">
      <c r="A7" s="26" t="s">
        <v>160</v>
      </c>
      <c r="B7" s="31">
        <f>982815.97+1738200</f>
        <v>2721015.9699999997</v>
      </c>
      <c r="C7" s="31">
        <f>982815.97+690000</f>
        <v>1672815.97</v>
      </c>
      <c r="D7" s="19">
        <v>315000</v>
      </c>
      <c r="E7" s="9"/>
      <c r="F7" s="9"/>
      <c r="G7" s="9"/>
      <c r="H7" s="7"/>
    </row>
    <row r="8" spans="1:8" ht="12.75">
      <c r="A8" s="26" t="s">
        <v>109</v>
      </c>
      <c r="B8" s="31">
        <v>64000</v>
      </c>
      <c r="C8" s="31">
        <v>64000</v>
      </c>
      <c r="D8" s="19">
        <v>0</v>
      </c>
      <c r="E8" s="9"/>
      <c r="F8" s="9"/>
      <c r="G8" s="9"/>
      <c r="H8" s="7"/>
    </row>
    <row r="9" spans="1:8" ht="12.75">
      <c r="A9" s="26" t="s">
        <v>141</v>
      </c>
      <c r="B9" s="31">
        <v>3918000</v>
      </c>
      <c r="C9" s="31">
        <v>3918000</v>
      </c>
      <c r="D9" s="19">
        <v>2846000</v>
      </c>
      <c r="E9" s="9"/>
      <c r="F9" s="9"/>
      <c r="G9" s="9"/>
      <c r="H9" s="7"/>
    </row>
    <row r="10" spans="1:8" ht="12.75">
      <c r="A10" s="26" t="s">
        <v>163</v>
      </c>
      <c r="B10" s="31">
        <v>1000</v>
      </c>
      <c r="C10" s="31">
        <v>1000</v>
      </c>
      <c r="D10" s="19">
        <v>1000</v>
      </c>
      <c r="E10" s="9"/>
      <c r="F10" s="9"/>
      <c r="G10" s="9"/>
      <c r="H10" s="7"/>
    </row>
    <row r="11" spans="1:8" ht="12.75">
      <c r="A11" s="26" t="s">
        <v>100</v>
      </c>
      <c r="B11" s="31">
        <f>7223718.63+670400</f>
        <v>7894118.63</v>
      </c>
      <c r="C11" s="31">
        <v>670400</v>
      </c>
      <c r="D11" s="19">
        <f>6931700+30000</f>
        <v>6961700</v>
      </c>
      <c r="E11" s="9"/>
      <c r="F11" s="9"/>
      <c r="G11" s="9"/>
      <c r="H11" s="7"/>
    </row>
    <row r="12" spans="1:8" ht="12.75">
      <c r="A12" s="26" t="s">
        <v>153</v>
      </c>
      <c r="B12" s="31">
        <v>25000</v>
      </c>
      <c r="C12" s="31">
        <v>25000</v>
      </c>
      <c r="D12" s="19">
        <v>22500</v>
      </c>
      <c r="E12" s="9"/>
      <c r="F12" s="9"/>
      <c r="G12" s="9"/>
      <c r="H12" s="7"/>
    </row>
    <row r="13" spans="1:8" ht="12.75">
      <c r="A13" s="26" t="s">
        <v>114</v>
      </c>
      <c r="B13" s="31">
        <f>36499.11+2102271.38+99000+319250+40000+288569.88+430580+5000+834820+3999.26+2357508+20984+483871+1129032+1998.63+128450+30000+183998.4+641468.4+188280.8+100000+65000+371000+14000+4000+37000</f>
        <v>9916580.86</v>
      </c>
      <c r="C13" s="31">
        <f>36499.11+2102271.38+99000+319250+40000+288569.88+430580+5000+834820+3999.26+2357508+20984+483600+1128400+1998.63+128450+30000+183998.4+641468.4+188280.8+100000+65000+371000+14000+4000+37000</f>
        <v>9915677.86</v>
      </c>
      <c r="D13" s="19">
        <f>36900+213000+95100+6000+5000+4000+353500+1776000+140100+6000+570900+223000+64000+2000+19000+4000+37000</f>
        <v>3555500</v>
      </c>
      <c r="E13" s="9"/>
      <c r="F13" s="9"/>
      <c r="G13" s="9"/>
      <c r="H13" s="7"/>
    </row>
    <row r="14" spans="1:8" ht="12.75">
      <c r="A14" s="26" t="s">
        <v>143</v>
      </c>
      <c r="B14" s="31">
        <f>12600+845000</f>
        <v>857600</v>
      </c>
      <c r="C14" s="31">
        <f>12600+845000</f>
        <v>857600</v>
      </c>
      <c r="D14" s="19">
        <f>7200+761000</f>
        <v>768200</v>
      </c>
      <c r="E14" s="9"/>
      <c r="F14" s="9"/>
      <c r="G14" s="9"/>
      <c r="H14" s="7"/>
    </row>
    <row r="15" spans="1:8" ht="12.75">
      <c r="A15" s="26" t="s">
        <v>167</v>
      </c>
      <c r="B15" s="31">
        <f>3915800+4000+4313350+44700</f>
        <v>8277850</v>
      </c>
      <c r="C15" s="31">
        <f>3915800+4000+4313350+44700</f>
        <v>8277850</v>
      </c>
      <c r="D15" s="19">
        <v>8069000</v>
      </c>
      <c r="E15" s="9"/>
      <c r="F15" s="9"/>
      <c r="G15" s="9"/>
      <c r="H15" s="7"/>
    </row>
    <row r="16" spans="1:8" ht="12.75">
      <c r="A16" s="26" t="s">
        <v>101</v>
      </c>
      <c r="B16" s="31">
        <f>10000+60401+11683500+8557250+100200+82735.2+590555+275000+64000</f>
        <v>21423641.2</v>
      </c>
      <c r="C16" s="31">
        <f>10000+54556.4+11683348+8557250+100200+82735.2+590555+237000+64000</f>
        <v>21379644.599999998</v>
      </c>
      <c r="D16" s="19">
        <f>10000+49000+18535100+100200+575100+193000+75000</f>
        <v>19537400</v>
      </c>
      <c r="E16" s="9"/>
      <c r="F16" s="9"/>
      <c r="G16" s="9"/>
      <c r="H16" s="7"/>
    </row>
    <row r="17" spans="1:8" ht="12.75">
      <c r="A17" s="26" t="s">
        <v>115</v>
      </c>
      <c r="B17" s="31">
        <f>200000+6077.52+400000</f>
        <v>606077.52</v>
      </c>
      <c r="C17" s="31">
        <f>200000+6077.52+400000</f>
        <v>606077.52</v>
      </c>
      <c r="D17" s="19">
        <f>100000+250000</f>
        <v>350000</v>
      </c>
      <c r="E17" s="9"/>
      <c r="F17" s="9"/>
      <c r="G17" s="9"/>
      <c r="H17" s="7"/>
    </row>
    <row r="18" spans="1:8" ht="12.75">
      <c r="A18" s="26" t="s">
        <v>177</v>
      </c>
      <c r="B18" s="31">
        <f>154166.56+718233.44</f>
        <v>872400</v>
      </c>
      <c r="C18" s="31">
        <f>154166.56+718233.44</f>
        <v>872400</v>
      </c>
      <c r="D18" s="19">
        <f>459700+263600</f>
        <v>723300</v>
      </c>
      <c r="E18" s="9"/>
      <c r="F18" s="9"/>
      <c r="G18" s="9"/>
      <c r="H18" s="7"/>
    </row>
    <row r="19" spans="1:8" ht="12.75">
      <c r="A19" s="26" t="s">
        <v>168</v>
      </c>
      <c r="B19" s="31">
        <f>15000+498045</f>
        <v>513045</v>
      </c>
      <c r="C19" s="31">
        <f>15000+42269.64</f>
        <v>57269.64</v>
      </c>
      <c r="D19" s="19">
        <f>13500+276400+6000</f>
        <v>295900</v>
      </c>
      <c r="E19" s="9"/>
      <c r="F19" s="9"/>
      <c r="G19" s="9"/>
      <c r="H19" s="7"/>
    </row>
    <row r="20" spans="1:8" ht="12.75">
      <c r="A20" s="26" t="s">
        <v>142</v>
      </c>
      <c r="B20" s="31">
        <v>0</v>
      </c>
      <c r="C20" s="31">
        <v>0</v>
      </c>
      <c r="D20" s="19">
        <v>0</v>
      </c>
      <c r="E20" s="9"/>
      <c r="F20" s="9"/>
      <c r="G20" s="9"/>
      <c r="H20" s="7"/>
    </row>
    <row r="21" spans="1:9" s="38" customFormat="1" ht="19.5" customHeight="1">
      <c r="A21" s="32" t="s">
        <v>94</v>
      </c>
      <c r="B21" s="33">
        <f>20361027.84+64795.07+199029.66+1174699+2106480+6000+466255+2959554.53</f>
        <v>27337841.1</v>
      </c>
      <c r="C21" s="34">
        <f>19890295.72+64793.07+199016.96+1174699+2016527.8+6000+465904.73+2959554.53</f>
        <v>26776791.810000002</v>
      </c>
      <c r="D21" s="34">
        <f>19993200+20800+145100+1373100+2157000+5400+684800+2088000</f>
        <v>26467400</v>
      </c>
      <c r="E21" s="35"/>
      <c r="F21" s="36"/>
      <c r="G21" s="36"/>
      <c r="H21" s="37" t="s">
        <v>55</v>
      </c>
      <c r="I21" s="38" t="s">
        <v>92</v>
      </c>
    </row>
    <row r="22" spans="1:8" ht="15.75" customHeight="1">
      <c r="A22" s="20" t="s">
        <v>102</v>
      </c>
      <c r="B22" s="21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22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22">
        <f>24200+3749900+286600+40400+2639900+2304400+1465900+12745800+280000+254000+10937200+2636000+219900+11635000+237100+1006300+62200+1050500+13058200+47300+5400+5400+6841100+633900+280000+27645000+1501000</f>
        <v>101592600</v>
      </c>
      <c r="E22" s="23"/>
      <c r="F22" s="24"/>
      <c r="G22" s="24"/>
      <c r="H22" s="4"/>
    </row>
    <row r="23" spans="1:8" ht="21.75" customHeight="1">
      <c r="A23" s="20" t="s">
        <v>146</v>
      </c>
      <c r="B23" s="21">
        <v>12310639.07</v>
      </c>
      <c r="C23" s="22">
        <v>12310639.07</v>
      </c>
      <c r="D23" s="22">
        <v>0</v>
      </c>
      <c r="E23" s="23"/>
      <c r="F23" s="24"/>
      <c r="G23" s="24"/>
      <c r="H23" s="4"/>
    </row>
    <row r="24" spans="1:8" ht="21.75" customHeight="1">
      <c r="A24" s="20" t="s">
        <v>183</v>
      </c>
      <c r="B24" s="21">
        <v>2145120</v>
      </c>
      <c r="C24" s="22">
        <v>2145120</v>
      </c>
      <c r="D24" s="22">
        <v>1997000</v>
      </c>
      <c r="E24" s="23"/>
      <c r="F24" s="24"/>
      <c r="G24" s="24"/>
      <c r="H24" s="4"/>
    </row>
    <row r="25" spans="1:8" ht="39.75" customHeight="1">
      <c r="A25" s="20" t="s">
        <v>95</v>
      </c>
      <c r="B25" s="21"/>
      <c r="C25" s="22"/>
      <c r="D25" s="22"/>
      <c r="E25" s="23"/>
      <c r="F25" s="24"/>
      <c r="G25" s="24"/>
      <c r="H25" s="4"/>
    </row>
    <row r="26" spans="1:8" ht="15.75" customHeight="1">
      <c r="A26" s="20" t="s">
        <v>154</v>
      </c>
      <c r="B26" s="21">
        <v>32961.2</v>
      </c>
      <c r="C26" s="22">
        <v>32961.2</v>
      </c>
      <c r="D26" s="22">
        <v>32114.7</v>
      </c>
      <c r="E26" s="23"/>
      <c r="F26" s="24"/>
      <c r="G26" s="24"/>
      <c r="H26" s="4"/>
    </row>
    <row r="27" spans="1:9" ht="15" customHeight="1">
      <c r="A27" s="20" t="s">
        <v>96</v>
      </c>
      <c r="B27" s="21">
        <f>368300</f>
        <v>368300</v>
      </c>
      <c r="C27" s="28">
        <f>368300</f>
        <v>368300</v>
      </c>
      <c r="D27" s="22">
        <v>361000</v>
      </c>
      <c r="E27" s="23"/>
      <c r="F27" s="25"/>
      <c r="G27" s="25"/>
      <c r="H27" s="4" t="s">
        <v>56</v>
      </c>
      <c r="I27" s="8" t="s">
        <v>93</v>
      </c>
    </row>
    <row r="28" spans="1:8" ht="20.25" customHeight="1">
      <c r="A28" s="20" t="s">
        <v>116</v>
      </c>
      <c r="B28" s="21">
        <v>572385.85</v>
      </c>
      <c r="C28" s="28">
        <v>572385.85</v>
      </c>
      <c r="D28" s="22">
        <v>3822600</v>
      </c>
      <c r="E28" s="23"/>
      <c r="F28" s="25"/>
      <c r="G28" s="25"/>
      <c r="H28" s="4"/>
    </row>
    <row r="29" spans="1:8" ht="15" customHeight="1">
      <c r="A29" s="20" t="s">
        <v>164</v>
      </c>
      <c r="B29" s="21">
        <v>423400</v>
      </c>
      <c r="C29" s="28">
        <v>401130</v>
      </c>
      <c r="D29" s="22">
        <v>395000</v>
      </c>
      <c r="E29" s="23"/>
      <c r="F29" s="25"/>
      <c r="G29" s="25"/>
      <c r="H29" s="4"/>
    </row>
    <row r="30" spans="1:8" ht="15" customHeight="1">
      <c r="A30" s="20" t="s">
        <v>165</v>
      </c>
      <c r="B30" s="21">
        <v>387000</v>
      </c>
      <c r="C30" s="28">
        <v>387000</v>
      </c>
      <c r="D30" s="22">
        <v>362000</v>
      </c>
      <c r="E30" s="23"/>
      <c r="F30" s="25"/>
      <c r="G30" s="25"/>
      <c r="H30" s="4"/>
    </row>
    <row r="31" spans="1:8" ht="15.75" customHeight="1">
      <c r="A31" s="20" t="s">
        <v>161</v>
      </c>
      <c r="B31" s="21">
        <v>65834000</v>
      </c>
      <c r="C31" s="28">
        <v>65834000</v>
      </c>
      <c r="D31" s="22">
        <v>69323800</v>
      </c>
      <c r="E31" s="23"/>
      <c r="F31" s="25"/>
      <c r="G31" s="25"/>
      <c r="H31" s="4"/>
    </row>
    <row r="32" spans="1:8" ht="15.75" customHeight="1">
      <c r="A32" s="20" t="s">
        <v>175</v>
      </c>
      <c r="B32" s="21">
        <v>1368900</v>
      </c>
      <c r="C32" s="28">
        <v>1366390.46</v>
      </c>
      <c r="D32" s="22">
        <v>1387200</v>
      </c>
      <c r="E32" s="23"/>
      <c r="F32" s="25"/>
      <c r="G32" s="25"/>
      <c r="H32" s="4"/>
    </row>
    <row r="33" spans="1:8" ht="14.25" customHeight="1">
      <c r="A33" s="20" t="s">
        <v>125</v>
      </c>
      <c r="B33" s="21">
        <v>327124</v>
      </c>
      <c r="C33" s="28">
        <v>327124</v>
      </c>
      <c r="D33" s="22">
        <v>619700</v>
      </c>
      <c r="E33" s="23"/>
      <c r="F33" s="25"/>
      <c r="G33" s="25"/>
      <c r="H33" s="4"/>
    </row>
    <row r="34" spans="1:8" ht="14.25" customHeight="1">
      <c r="A34" s="20" t="s">
        <v>126</v>
      </c>
      <c r="B34" s="21">
        <v>1370611</v>
      </c>
      <c r="C34" s="28">
        <v>1370611</v>
      </c>
      <c r="D34" s="22">
        <v>2653800</v>
      </c>
      <c r="E34" s="23"/>
      <c r="F34" s="25"/>
      <c r="G34" s="25"/>
      <c r="H34" s="4"/>
    </row>
    <row r="35" spans="1:8" ht="14.25" customHeight="1">
      <c r="A35" s="20" t="s">
        <v>130</v>
      </c>
      <c r="B35" s="21">
        <v>40500</v>
      </c>
      <c r="C35" s="28">
        <v>40500</v>
      </c>
      <c r="D35" s="22">
        <v>71600</v>
      </c>
      <c r="E35" s="23"/>
      <c r="F35" s="25"/>
      <c r="G35" s="25"/>
      <c r="H35" s="4"/>
    </row>
    <row r="36" spans="1:8" ht="14.25" customHeight="1">
      <c r="A36" s="20" t="s">
        <v>162</v>
      </c>
      <c r="B36" s="21">
        <v>198000</v>
      </c>
      <c r="C36" s="28">
        <v>57471.52</v>
      </c>
      <c r="D36" s="22">
        <v>213600</v>
      </c>
      <c r="E36" s="23"/>
      <c r="F36" s="25"/>
      <c r="G36" s="25"/>
      <c r="H36" s="4"/>
    </row>
    <row r="37" spans="1:8" ht="14.25" customHeight="1">
      <c r="A37" s="20" t="s">
        <v>127</v>
      </c>
      <c r="B37" s="21">
        <v>8725102</v>
      </c>
      <c r="C37" s="28">
        <v>8725102</v>
      </c>
      <c r="D37" s="22">
        <v>3409300</v>
      </c>
      <c r="E37" s="23"/>
      <c r="F37" s="25"/>
      <c r="G37" s="25"/>
      <c r="H37" s="4"/>
    </row>
    <row r="38" spans="1:8" ht="14.25" customHeight="1">
      <c r="A38" s="20" t="s">
        <v>133</v>
      </c>
      <c r="B38" s="21">
        <v>73000</v>
      </c>
      <c r="C38" s="28">
        <v>65144</v>
      </c>
      <c r="D38" s="22">
        <v>71200</v>
      </c>
      <c r="E38" s="23"/>
      <c r="F38" s="25"/>
      <c r="G38" s="25"/>
      <c r="H38" s="4"/>
    </row>
    <row r="39" spans="1:8" ht="14.25" customHeight="1">
      <c r="A39" s="20" t="s">
        <v>129</v>
      </c>
      <c r="B39" s="21">
        <v>59689</v>
      </c>
      <c r="C39" s="28">
        <v>59689</v>
      </c>
      <c r="D39" s="22">
        <v>285300</v>
      </c>
      <c r="E39" s="23"/>
      <c r="F39" s="25"/>
      <c r="G39" s="25"/>
      <c r="H39" s="4"/>
    </row>
    <row r="40" spans="1:8" ht="14.25" customHeight="1">
      <c r="A40" s="20" t="s">
        <v>131</v>
      </c>
      <c r="B40" s="21">
        <v>2783100</v>
      </c>
      <c r="C40" s="28">
        <v>2783100</v>
      </c>
      <c r="D40" s="22">
        <v>0</v>
      </c>
      <c r="E40" s="23"/>
      <c r="F40" s="25"/>
      <c r="G40" s="25"/>
      <c r="H40" s="4"/>
    </row>
    <row r="41" spans="1:8" ht="16.5" customHeight="1">
      <c r="A41" s="20" t="s">
        <v>124</v>
      </c>
      <c r="B41" s="21">
        <v>2940436</v>
      </c>
      <c r="C41" s="28">
        <v>2940436</v>
      </c>
      <c r="D41" s="22">
        <v>5523200</v>
      </c>
      <c r="E41" s="23"/>
      <c r="F41" s="25"/>
      <c r="G41" s="25"/>
      <c r="H41" s="4"/>
    </row>
    <row r="42" spans="1:8" ht="16.5" customHeight="1">
      <c r="A42" s="20" t="s">
        <v>176</v>
      </c>
      <c r="B42" s="21">
        <v>990000</v>
      </c>
      <c r="C42" s="28">
        <v>990000</v>
      </c>
      <c r="D42" s="22">
        <v>1177800</v>
      </c>
      <c r="E42" s="23"/>
      <c r="F42" s="25"/>
      <c r="G42" s="25"/>
      <c r="H42" s="4"/>
    </row>
    <row r="43" spans="1:8" ht="16.5" customHeight="1">
      <c r="A43" s="20" t="s">
        <v>128</v>
      </c>
      <c r="B43" s="21">
        <v>750000</v>
      </c>
      <c r="C43" s="28">
        <v>750000</v>
      </c>
      <c r="D43" s="22">
        <v>405200</v>
      </c>
      <c r="E43" s="23"/>
      <c r="F43" s="25"/>
      <c r="G43" s="25"/>
      <c r="H43" s="4"/>
    </row>
    <row r="44" spans="1:8" ht="16.5" customHeight="1">
      <c r="A44" s="20" t="s">
        <v>134</v>
      </c>
      <c r="B44" s="21">
        <v>1707500</v>
      </c>
      <c r="C44" s="28">
        <v>1707500</v>
      </c>
      <c r="D44" s="22">
        <v>4950000</v>
      </c>
      <c r="E44" s="23"/>
      <c r="F44" s="25"/>
      <c r="G44" s="25"/>
      <c r="H44" s="4"/>
    </row>
    <row r="45" spans="1:8" ht="16.5" customHeight="1">
      <c r="A45" s="20" t="s">
        <v>132</v>
      </c>
      <c r="B45" s="21">
        <v>1818500</v>
      </c>
      <c r="C45" s="28">
        <v>1818500</v>
      </c>
      <c r="D45" s="22">
        <v>1799200</v>
      </c>
      <c r="E45" s="23"/>
      <c r="F45" s="25"/>
      <c r="G45" s="25"/>
      <c r="H45" s="4"/>
    </row>
    <row r="46" spans="1:8" ht="17.25" customHeight="1">
      <c r="A46" s="20" t="s">
        <v>123</v>
      </c>
      <c r="B46" s="21">
        <v>9953000</v>
      </c>
      <c r="C46" s="28">
        <v>9953000</v>
      </c>
      <c r="D46" s="22">
        <v>0</v>
      </c>
      <c r="E46" s="23"/>
      <c r="F46" s="25"/>
      <c r="G46" s="25"/>
      <c r="H46" s="4"/>
    </row>
    <row r="47" spans="1:8" ht="15.75" customHeight="1">
      <c r="A47" s="20" t="s">
        <v>118</v>
      </c>
      <c r="B47" s="21">
        <v>1134083</v>
      </c>
      <c r="C47" s="28">
        <v>1134083</v>
      </c>
      <c r="D47" s="22">
        <v>3680800</v>
      </c>
      <c r="E47" s="23"/>
      <c r="F47" s="25"/>
      <c r="G47" s="25"/>
      <c r="H47" s="4"/>
    </row>
    <row r="48" spans="1:8" ht="15.75" customHeight="1">
      <c r="A48" s="20" t="s">
        <v>122</v>
      </c>
      <c r="B48" s="21">
        <v>12500000</v>
      </c>
      <c r="C48" s="28">
        <v>12500000</v>
      </c>
      <c r="D48" s="22">
        <v>0</v>
      </c>
      <c r="E48" s="23"/>
      <c r="F48" s="25"/>
      <c r="G48" s="25"/>
      <c r="H48" s="4"/>
    </row>
    <row r="49" spans="1:8" ht="16.5" customHeight="1">
      <c r="A49" s="20" t="s">
        <v>117</v>
      </c>
      <c r="B49" s="21">
        <v>698790</v>
      </c>
      <c r="C49" s="28">
        <v>698790</v>
      </c>
      <c r="D49" s="22">
        <v>143900</v>
      </c>
      <c r="E49" s="23"/>
      <c r="F49" s="25"/>
      <c r="G49" s="25"/>
      <c r="H49" s="4"/>
    </row>
    <row r="50" spans="1:8" ht="16.5" customHeight="1">
      <c r="A50" s="20" t="s">
        <v>120</v>
      </c>
      <c r="B50" s="21">
        <v>2761599</v>
      </c>
      <c r="C50" s="28">
        <v>2761599</v>
      </c>
      <c r="D50" s="22">
        <v>82500</v>
      </c>
      <c r="E50" s="23"/>
      <c r="F50" s="25"/>
      <c r="G50" s="25"/>
      <c r="H50" s="4"/>
    </row>
    <row r="51" spans="1:8" ht="16.5" customHeight="1">
      <c r="A51" s="20" t="s">
        <v>169</v>
      </c>
      <c r="B51" s="21">
        <v>700866</v>
      </c>
      <c r="C51" s="28">
        <v>700866</v>
      </c>
      <c r="D51" s="22">
        <v>0</v>
      </c>
      <c r="E51" s="23"/>
      <c r="F51" s="25"/>
      <c r="G51" s="25"/>
      <c r="H51" s="4"/>
    </row>
    <row r="52" spans="1:8" ht="16.5" customHeight="1">
      <c r="A52" s="20" t="s">
        <v>170</v>
      </c>
      <c r="B52" s="21">
        <v>2792304</v>
      </c>
      <c r="C52" s="28">
        <v>2792304</v>
      </c>
      <c r="D52" s="22">
        <v>1401700</v>
      </c>
      <c r="E52" s="23"/>
      <c r="F52" s="25"/>
      <c r="G52" s="25"/>
      <c r="H52" s="4"/>
    </row>
    <row r="53" spans="1:8" ht="12.75">
      <c r="A53" s="26" t="s">
        <v>97</v>
      </c>
      <c r="B53" s="22">
        <v>1704.26</v>
      </c>
      <c r="C53" s="22">
        <v>0</v>
      </c>
      <c r="D53" s="22">
        <v>2381.73</v>
      </c>
      <c r="E53" s="22"/>
      <c r="F53" s="29"/>
      <c r="G53" s="29"/>
      <c r="H53" s="7"/>
    </row>
    <row r="54" spans="1:8" ht="12.75">
      <c r="A54" s="26" t="s">
        <v>119</v>
      </c>
      <c r="B54" s="22">
        <v>8967825</v>
      </c>
      <c r="C54" s="22">
        <v>8967825</v>
      </c>
      <c r="D54" s="22">
        <v>6486000</v>
      </c>
      <c r="E54" s="22"/>
      <c r="F54" s="29"/>
      <c r="G54" s="29"/>
      <c r="H54" s="7"/>
    </row>
    <row r="55" spans="1:8" ht="12.75">
      <c r="A55" s="26" t="s">
        <v>121</v>
      </c>
      <c r="B55" s="22">
        <v>5883800</v>
      </c>
      <c r="C55" s="22">
        <v>5883800</v>
      </c>
      <c r="D55" s="22">
        <v>7289900</v>
      </c>
      <c r="E55" s="22"/>
      <c r="F55" s="29"/>
      <c r="G55" s="29"/>
      <c r="H55" s="7"/>
    </row>
    <row r="56" spans="1:9" ht="12.75">
      <c r="A56" s="26" t="s">
        <v>111</v>
      </c>
      <c r="B56" s="22"/>
      <c r="C56" s="22"/>
      <c r="D56" s="22"/>
      <c r="E56" s="22"/>
      <c r="F56" s="29"/>
      <c r="G56" s="29"/>
      <c r="H56" s="7"/>
      <c r="I56" s="12"/>
    </row>
    <row r="57" spans="1:9" ht="12.75">
      <c r="A57" s="26" t="s">
        <v>184</v>
      </c>
      <c r="B57" s="22">
        <v>5754400</v>
      </c>
      <c r="C57" s="22">
        <v>5754400</v>
      </c>
      <c r="D57" s="22">
        <v>5773900</v>
      </c>
      <c r="E57" s="22"/>
      <c r="F57" s="29"/>
      <c r="G57" s="29"/>
      <c r="H57" s="7"/>
      <c r="I57" s="12"/>
    </row>
    <row r="58" spans="1:8" ht="12.75">
      <c r="A58" s="26" t="s">
        <v>112</v>
      </c>
      <c r="B58" s="22">
        <v>273.2</v>
      </c>
      <c r="C58" s="22">
        <v>273.2</v>
      </c>
      <c r="D58" s="22">
        <v>314.5</v>
      </c>
      <c r="E58" s="22"/>
      <c r="F58" s="29"/>
      <c r="G58" s="29"/>
      <c r="H58" s="7"/>
    </row>
    <row r="59" spans="1:8" ht="12.75">
      <c r="A59" s="26" t="s">
        <v>113</v>
      </c>
      <c r="B59" s="22">
        <f>5187190+3784325+1750000+2399148.34+59000+50000+248711+478725+705375+3966500</f>
        <v>18628974.34</v>
      </c>
      <c r="C59" s="22">
        <f>5187190+3784325+1750000+2399148.34+59000+50000+248711+478725+705375+3966500</f>
        <v>18628974.34</v>
      </c>
      <c r="D59" s="22">
        <f>706800+560000+3000000+3308100+104400</f>
        <v>7679300</v>
      </c>
      <c r="E59" s="22"/>
      <c r="F59" s="29"/>
      <c r="G59" s="29"/>
      <c r="H59" s="7" t="s">
        <v>57</v>
      </c>
    </row>
    <row r="60" spans="1:8" ht="12.75">
      <c r="A60" s="26"/>
      <c r="B60" s="22"/>
      <c r="C60" s="22"/>
      <c r="D60" s="22"/>
      <c r="E60" s="22"/>
      <c r="F60" s="29"/>
      <c r="G60" s="29"/>
      <c r="H60" s="7" t="s">
        <v>58</v>
      </c>
    </row>
    <row r="61" spans="1:8" ht="12.75">
      <c r="A61" s="26"/>
      <c r="B61" s="22">
        <f>SUM(B4:B59)</f>
        <v>372124169.18999994</v>
      </c>
      <c r="C61" s="22">
        <f>SUM(C4:C59)</f>
        <v>362190089.58999985</v>
      </c>
      <c r="D61" s="22">
        <f>SUM(D4:D59)</f>
        <v>312592410.93</v>
      </c>
      <c r="E61" s="22"/>
      <c r="F61" s="29"/>
      <c r="G61" s="29"/>
      <c r="H61" s="7"/>
    </row>
    <row r="62" spans="1:8" ht="12.75">
      <c r="A62" s="26"/>
      <c r="B62" s="22"/>
      <c r="C62" s="22"/>
      <c r="D62" s="22"/>
      <c r="E62" s="22"/>
      <c r="F62" s="29"/>
      <c r="G62" s="29"/>
      <c r="H62" s="7"/>
    </row>
    <row r="63" spans="1:8" ht="12.75">
      <c r="A63" s="26"/>
      <c r="B63" s="22">
        <f>411125549.46-B61</f>
        <v>39001380.27000004</v>
      </c>
      <c r="C63" s="22">
        <f>399851298.8-C61</f>
        <v>37661209.21000016</v>
      </c>
      <c r="D63" s="22">
        <f>369107681.8-D61</f>
        <v>56515270.870000005</v>
      </c>
      <c r="E63" s="22"/>
      <c r="F63" s="29"/>
      <c r="G63" s="29"/>
      <c r="H63" s="7"/>
    </row>
    <row r="64" spans="1:8" ht="12.75">
      <c r="A64" s="26"/>
      <c r="B64" s="22"/>
      <c r="C64" s="22"/>
      <c r="D64" s="22"/>
      <c r="E64" s="22"/>
      <c r="F64" s="29"/>
      <c r="G64" s="29"/>
      <c r="H64" s="7"/>
    </row>
    <row r="65" spans="1:8" ht="12.75">
      <c r="A65" s="26"/>
      <c r="B65" s="22"/>
      <c r="C65" s="22"/>
      <c r="D65" s="22"/>
      <c r="E65" s="22"/>
      <c r="F65" s="29"/>
      <c r="G65" s="29"/>
      <c r="H65" s="7"/>
    </row>
    <row r="66" spans="1:12" ht="12.75">
      <c r="A66" s="26"/>
      <c r="B66" s="22"/>
      <c r="C66" s="22"/>
      <c r="D66" s="22"/>
      <c r="E66" s="22"/>
      <c r="F66" s="29"/>
      <c r="G66" s="29"/>
      <c r="H66" s="7"/>
      <c r="L66" s="27"/>
    </row>
    <row r="67" spans="1:8" ht="12.75">
      <c r="A67" s="26"/>
      <c r="B67" s="22"/>
      <c r="C67" s="22"/>
      <c r="D67" s="22"/>
      <c r="E67" s="22"/>
      <c r="F67" s="29"/>
      <c r="G67" s="29"/>
      <c r="H67" s="7"/>
    </row>
    <row r="68" spans="1:8" ht="12.75">
      <c r="A68" s="26"/>
      <c r="B68" s="22"/>
      <c r="C68" s="22"/>
      <c r="D68" s="22"/>
      <c r="E68" s="22"/>
      <c r="F68" s="29"/>
      <c r="G68" s="29"/>
      <c r="H68" s="7"/>
    </row>
    <row r="69" spans="1:8" ht="12.75">
      <c r="A69" s="26"/>
      <c r="B69" s="22"/>
      <c r="C69" s="22"/>
      <c r="D69" s="22"/>
      <c r="E69" s="22"/>
      <c r="F69" s="29"/>
      <c r="G69" s="29"/>
      <c r="H69" s="7" t="s">
        <v>59</v>
      </c>
    </row>
    <row r="70" spans="1:8" ht="12.75">
      <c r="A70" s="26"/>
      <c r="B70" s="22"/>
      <c r="C70" s="22"/>
      <c r="D70" s="22"/>
      <c r="E70" s="22"/>
      <c r="F70" s="29"/>
      <c r="G70" s="29"/>
      <c r="H70" s="7"/>
    </row>
    <row r="71" spans="1:8" ht="12.75">
      <c r="A71" s="26"/>
      <c r="B71" s="22"/>
      <c r="C71" s="22"/>
      <c r="D71" s="22"/>
      <c r="E71" s="22"/>
      <c r="F71" s="29"/>
      <c r="G71" s="29"/>
      <c r="H71" s="7"/>
    </row>
    <row r="72" spans="1:8" ht="12.75">
      <c r="A72" s="26"/>
      <c r="B72" s="22"/>
      <c r="C72" s="22"/>
      <c r="D72" s="22"/>
      <c r="E72" s="22"/>
      <c r="F72" s="29"/>
      <c r="G72" s="29"/>
      <c r="H72" s="7"/>
    </row>
    <row r="73" spans="1:8" ht="12.75">
      <c r="A73" s="26"/>
      <c r="B73" s="22"/>
      <c r="C73" s="22"/>
      <c r="D73" s="22"/>
      <c r="E73" s="22"/>
      <c r="F73" s="29"/>
      <c r="G73" s="29"/>
      <c r="H73" s="7"/>
    </row>
    <row r="74" spans="1:8" ht="12.75">
      <c r="A74" s="26"/>
      <c r="B74" s="22"/>
      <c r="C74" s="22"/>
      <c r="D74" s="22"/>
      <c r="E74" s="22"/>
      <c r="F74" s="29"/>
      <c r="G74" s="29"/>
      <c r="H74" s="7"/>
    </row>
    <row r="75" spans="1:8" ht="12.75">
      <c r="A75" s="26"/>
      <c r="B75" s="22"/>
      <c r="C75" s="22"/>
      <c r="D75" s="22"/>
      <c r="E75" s="22"/>
      <c r="F75" s="29"/>
      <c r="G75" s="29"/>
      <c r="H75" s="7"/>
    </row>
    <row r="76" spans="1:8" ht="12.75">
      <c r="A76" s="26"/>
      <c r="B76" s="22"/>
      <c r="C76" s="22"/>
      <c r="D76" s="22"/>
      <c r="E76" s="22"/>
      <c r="F76" s="30"/>
      <c r="G76" s="30"/>
      <c r="H76" s="7" t="s">
        <v>60</v>
      </c>
    </row>
    <row r="77" spans="1:8" ht="12.75">
      <c r="A77" s="11" t="s">
        <v>61</v>
      </c>
      <c r="B77" s="19"/>
      <c r="C77" s="19">
        <f>SUM(C21:C76)</f>
        <v>699650381.92</v>
      </c>
      <c r="D77" s="19">
        <f>SUM(D21:D76)</f>
        <v>628568992.73</v>
      </c>
      <c r="E77" s="19"/>
      <c r="F77" s="9"/>
      <c r="G77" s="9"/>
      <c r="H77" s="7"/>
    </row>
    <row r="78" spans="1:8" ht="12.75">
      <c r="A78" s="5"/>
      <c r="B78" s="5"/>
      <c r="C78" s="7"/>
      <c r="D78" s="7"/>
      <c r="E78" s="7"/>
      <c r="F78" s="7"/>
      <c r="G78" s="7"/>
      <c r="H78" s="7"/>
    </row>
    <row r="79" spans="1:8" ht="12.75">
      <c r="A79" s="5"/>
      <c r="B79" s="5"/>
      <c r="C79" s="7"/>
      <c r="D79" s="7"/>
      <c r="E79" s="7"/>
      <c r="F79" s="7"/>
      <c r="G79" s="7"/>
      <c r="H79" s="7"/>
    </row>
    <row r="80" spans="1:8" ht="12.75">
      <c r="A80" s="5" t="s">
        <v>62</v>
      </c>
      <c r="B80" s="5"/>
      <c r="C80" s="7">
        <v>272.7</v>
      </c>
      <c r="D80" s="7">
        <v>276.1</v>
      </c>
      <c r="E80" s="7"/>
      <c r="F80" s="7"/>
      <c r="G80" s="7"/>
      <c r="H80" s="7"/>
    </row>
    <row r="81" spans="1:8" ht="12.75">
      <c r="A81" s="5" t="s">
        <v>63</v>
      </c>
      <c r="B81" s="5"/>
      <c r="C81" s="7">
        <v>3966.5</v>
      </c>
      <c r="D81" s="7">
        <v>7140.8</v>
      </c>
      <c r="E81" s="7"/>
      <c r="F81" s="7"/>
      <c r="G81" s="7"/>
      <c r="H81" s="7"/>
    </row>
    <row r="82" spans="1:8" ht="12.75">
      <c r="A82" s="5" t="s">
        <v>64</v>
      </c>
      <c r="B82" s="5"/>
      <c r="C82" s="7">
        <f>5460.2+3983.5+2375+4331+742.5+2133.7</f>
        <v>19025.9</v>
      </c>
      <c r="D82" s="7">
        <f>5085.5+3710.2+0+691.5+249.4</f>
        <v>9736.6</v>
      </c>
      <c r="E82" s="7"/>
      <c r="F82" s="7"/>
      <c r="G82" s="7"/>
      <c r="H82" s="7"/>
    </row>
    <row r="83" spans="1:8" ht="12.75">
      <c r="A83" s="11" t="s">
        <v>61</v>
      </c>
      <c r="B83" s="11"/>
      <c r="C83" s="13">
        <f>SUM(C80:C82)</f>
        <v>23265.100000000002</v>
      </c>
      <c r="D83" s="13">
        <f>SUM(D80:D82)</f>
        <v>17153.5</v>
      </c>
      <c r="E83" s="13"/>
      <c r="F83" s="13"/>
      <c r="G83" s="13"/>
      <c r="H83" s="7"/>
    </row>
    <row r="84" spans="1:8" ht="51">
      <c r="A84" s="14" t="s">
        <v>65</v>
      </c>
      <c r="B84" s="14"/>
      <c r="C84" s="15">
        <f>5754.4-3620.7</f>
        <v>2133.7</v>
      </c>
      <c r="D84" s="15">
        <f>6742.8-6493.4</f>
        <v>249.40000000000055</v>
      </c>
      <c r="E84" s="13"/>
      <c r="F84" s="13"/>
      <c r="G84" s="13"/>
      <c r="H84" s="10"/>
    </row>
    <row r="85" spans="1:8" ht="12.75">
      <c r="A85" s="5"/>
      <c r="B85" s="5"/>
      <c r="C85" s="7"/>
      <c r="D85" s="7"/>
      <c r="E85" s="7"/>
      <c r="F85" s="7"/>
      <c r="G85" s="7"/>
      <c r="H85" s="7"/>
    </row>
    <row r="86" spans="1:8" ht="12.75">
      <c r="A86" s="5" t="s">
        <v>66</v>
      </c>
      <c r="B86" s="5"/>
      <c r="C86" s="7">
        <v>2775.6</v>
      </c>
      <c r="D86" s="7"/>
      <c r="E86" s="7"/>
      <c r="F86" s="7"/>
      <c r="G86" s="7"/>
      <c r="H86" s="7"/>
    </row>
    <row r="87" spans="1:8" ht="12.75">
      <c r="A87" s="5" t="s">
        <v>67</v>
      </c>
      <c r="B87" s="5"/>
      <c r="C87" s="7">
        <v>3620.7</v>
      </c>
      <c r="D87" s="7">
        <v>6493.4</v>
      </c>
      <c r="E87" s="7"/>
      <c r="F87" s="7"/>
      <c r="G87" s="7"/>
      <c r="H87" s="7"/>
    </row>
    <row r="88" spans="1:8" ht="12.75">
      <c r="A88" s="5" t="s">
        <v>68</v>
      </c>
      <c r="B88" s="5"/>
      <c r="C88" s="7">
        <v>63944.4</v>
      </c>
      <c r="D88" s="7">
        <v>63944.4</v>
      </c>
      <c r="E88" s="7"/>
      <c r="F88" s="7"/>
      <c r="G88" s="7"/>
      <c r="H88" s="7"/>
    </row>
    <row r="89" spans="1:8" ht="12.75">
      <c r="A89" s="5" t="s">
        <v>69</v>
      </c>
      <c r="B89" s="5"/>
      <c r="C89" s="10"/>
      <c r="D89" s="10"/>
      <c r="E89" s="10"/>
      <c r="F89" s="10"/>
      <c r="G89" s="10"/>
      <c r="H89" s="7"/>
    </row>
    <row r="90" spans="1:8" ht="12.75">
      <c r="A90" s="5" t="s">
        <v>70</v>
      </c>
      <c r="B90" s="5"/>
      <c r="C90" s="10">
        <v>5050.1</v>
      </c>
      <c r="D90" s="10">
        <v>5359.6</v>
      </c>
      <c r="E90" s="10"/>
      <c r="F90" s="10"/>
      <c r="G90" s="10"/>
      <c r="H90" s="7"/>
    </row>
    <row r="91" spans="1:8" ht="12.75">
      <c r="A91" s="5" t="s">
        <v>71</v>
      </c>
      <c r="B91" s="5"/>
      <c r="C91" s="10">
        <v>387.7</v>
      </c>
      <c r="D91" s="10">
        <v>412.3</v>
      </c>
      <c r="E91" s="10"/>
      <c r="F91" s="10"/>
      <c r="G91" s="10"/>
      <c r="H91" s="7"/>
    </row>
    <row r="92" spans="1:8" ht="12.75">
      <c r="A92" s="5" t="s">
        <v>72</v>
      </c>
      <c r="B92" s="5"/>
      <c r="C92" s="10">
        <v>387</v>
      </c>
      <c r="D92" s="10">
        <v>411.4</v>
      </c>
      <c r="E92" s="10"/>
      <c r="F92" s="10"/>
      <c r="G92" s="10"/>
      <c r="H92" s="7"/>
    </row>
    <row r="93" spans="1:8" ht="12.75">
      <c r="A93" s="5" t="s">
        <v>73</v>
      </c>
      <c r="B93" s="5"/>
      <c r="C93" s="10">
        <v>7790.7</v>
      </c>
      <c r="D93" s="10">
        <v>7790.7</v>
      </c>
      <c r="E93" s="10"/>
      <c r="F93" s="10"/>
      <c r="G93" s="10"/>
      <c r="H93" s="7"/>
    </row>
    <row r="94" spans="1:8" ht="12.75">
      <c r="A94" s="5" t="s">
        <v>74</v>
      </c>
      <c r="B94" s="5"/>
      <c r="C94" s="10">
        <v>1094.2</v>
      </c>
      <c r="D94" s="10">
        <v>1094.2</v>
      </c>
      <c r="E94" s="10"/>
      <c r="F94" s="10"/>
      <c r="G94" s="10"/>
      <c r="H94" s="7"/>
    </row>
    <row r="95" spans="1:8" ht="12.75">
      <c r="A95" s="5" t="s">
        <v>75</v>
      </c>
      <c r="B95" s="5"/>
      <c r="C95" s="10">
        <f>287.2+276.9</f>
        <v>564.0999999999999</v>
      </c>
      <c r="D95" s="10">
        <f>269.7+276.9</f>
        <v>546.5999999999999</v>
      </c>
      <c r="E95" s="10"/>
      <c r="F95" s="10"/>
      <c r="G95" s="10"/>
      <c r="H95" s="7"/>
    </row>
    <row r="96" spans="1:8" ht="12.75">
      <c r="A96" s="5" t="s">
        <v>76</v>
      </c>
      <c r="B96" s="5"/>
      <c r="C96" s="10">
        <v>1313.6</v>
      </c>
      <c r="D96" s="10">
        <v>1313.6</v>
      </c>
      <c r="E96" s="10"/>
      <c r="F96" s="10"/>
      <c r="G96" s="10"/>
      <c r="H96" s="7"/>
    </row>
    <row r="97" spans="1:8" ht="12.75">
      <c r="A97" s="5" t="s">
        <v>77</v>
      </c>
      <c r="B97" s="5"/>
      <c r="C97" s="10"/>
      <c r="D97" s="10">
        <v>3.5</v>
      </c>
      <c r="E97" s="10"/>
      <c r="F97" s="10"/>
      <c r="G97" s="10"/>
      <c r="H97" s="7"/>
    </row>
    <row r="98" spans="1:8" ht="12.75">
      <c r="A98" s="5" t="s">
        <v>78</v>
      </c>
      <c r="B98" s="5"/>
      <c r="C98" s="10">
        <v>220</v>
      </c>
      <c r="D98" s="10">
        <v>220</v>
      </c>
      <c r="E98" s="10"/>
      <c r="F98" s="10"/>
      <c r="G98" s="10"/>
      <c r="H98" s="7"/>
    </row>
    <row r="99" spans="1:8" ht="12.75">
      <c r="A99" s="5" t="s">
        <v>79</v>
      </c>
      <c r="B99" s="5"/>
      <c r="C99" s="10">
        <v>445.7</v>
      </c>
      <c r="D99" s="10">
        <v>503.6</v>
      </c>
      <c r="E99" s="10"/>
      <c r="F99" s="10"/>
      <c r="G99" s="10"/>
      <c r="H99" s="7"/>
    </row>
    <row r="100" spans="1:8" ht="12.75">
      <c r="A100" s="5" t="s">
        <v>80</v>
      </c>
      <c r="B100" s="5"/>
      <c r="C100" s="10">
        <v>412.6</v>
      </c>
      <c r="D100" s="10">
        <v>412.6</v>
      </c>
      <c r="E100" s="10"/>
      <c r="F100" s="10"/>
      <c r="G100" s="10"/>
      <c r="H100" s="7"/>
    </row>
    <row r="101" spans="1:8" ht="12.75">
      <c r="A101" s="5" t="s">
        <v>81</v>
      </c>
      <c r="B101" s="5"/>
      <c r="C101" s="10">
        <v>4900.5</v>
      </c>
      <c r="D101" s="10">
        <v>4900.5</v>
      </c>
      <c r="E101" s="10"/>
      <c r="F101" s="10"/>
      <c r="G101" s="10"/>
      <c r="H101" s="7"/>
    </row>
    <row r="102" spans="1:8" ht="12.75">
      <c r="A102" s="5" t="s">
        <v>82</v>
      </c>
      <c r="B102" s="5"/>
      <c r="C102" s="10">
        <f>5429.6+2808.4</f>
        <v>8238</v>
      </c>
      <c r="D102" s="10">
        <f>5492.6+2808.4</f>
        <v>8301</v>
      </c>
      <c r="E102" s="10"/>
      <c r="F102" s="10"/>
      <c r="G102" s="10"/>
      <c r="H102" s="7"/>
    </row>
    <row r="103" spans="1:8" ht="12.75">
      <c r="A103" s="5" t="s">
        <v>83</v>
      </c>
      <c r="B103" s="5"/>
      <c r="C103" s="10">
        <v>301.5</v>
      </c>
      <c r="D103" s="10">
        <v>282.9</v>
      </c>
      <c r="E103" s="10"/>
      <c r="F103" s="10"/>
      <c r="G103" s="10"/>
      <c r="H103" s="7"/>
    </row>
    <row r="104" spans="1:8" ht="12.75">
      <c r="A104" s="5" t="s">
        <v>84</v>
      </c>
      <c r="B104" s="5"/>
      <c r="C104" s="10">
        <v>1169.6</v>
      </c>
      <c r="D104" s="10">
        <v>1242.1</v>
      </c>
      <c r="E104" s="10"/>
      <c r="F104" s="10"/>
      <c r="G104" s="10"/>
      <c r="H104" s="7"/>
    </row>
    <row r="105" spans="1:8" ht="12.75">
      <c r="A105" s="5" t="s">
        <v>85</v>
      </c>
      <c r="B105" s="5"/>
      <c r="C105" s="10">
        <v>1692.7</v>
      </c>
      <c r="D105" s="10">
        <v>1603.6</v>
      </c>
      <c r="E105" s="10"/>
      <c r="F105" s="10"/>
      <c r="G105" s="10"/>
      <c r="H105" s="7"/>
    </row>
    <row r="106" spans="1:8" ht="12.75">
      <c r="A106" s="5" t="s">
        <v>86</v>
      </c>
      <c r="B106" s="5"/>
      <c r="C106" s="10">
        <v>363.6</v>
      </c>
      <c r="D106" s="10">
        <v>363.6</v>
      </c>
      <c r="E106" s="10"/>
      <c r="F106" s="10"/>
      <c r="G106" s="10"/>
      <c r="H106" s="7"/>
    </row>
    <row r="107" spans="1:8" ht="12.75">
      <c r="A107" s="5" t="s">
        <v>87</v>
      </c>
      <c r="B107" s="5"/>
      <c r="C107" s="10">
        <v>73</v>
      </c>
      <c r="D107" s="10">
        <v>59.3</v>
      </c>
      <c r="E107" s="10"/>
      <c r="F107" s="10"/>
      <c r="G107" s="10"/>
      <c r="H107" s="7"/>
    </row>
    <row r="108" spans="1:8" ht="12.75">
      <c r="A108" s="5" t="s">
        <v>88</v>
      </c>
      <c r="B108" s="5"/>
      <c r="C108" s="10">
        <v>38048</v>
      </c>
      <c r="D108" s="10">
        <v>38048</v>
      </c>
      <c r="E108" s="10"/>
      <c r="F108" s="10"/>
      <c r="G108" s="10"/>
      <c r="H108" s="7"/>
    </row>
    <row r="109" spans="1:8" ht="12.75">
      <c r="A109" s="11" t="s">
        <v>61</v>
      </c>
      <c r="B109" s="11"/>
      <c r="C109" s="13">
        <f>SUM(C86:C108)</f>
        <v>142793.30000000002</v>
      </c>
      <c r="D109" s="13">
        <f>SUM(D86:D108)</f>
        <v>143306.90000000002</v>
      </c>
      <c r="E109" s="13"/>
      <c r="F109" s="13"/>
      <c r="G109" s="13"/>
      <c r="H109" s="7"/>
    </row>
    <row r="110" spans="1:8" ht="12.75">
      <c r="A110" s="5"/>
      <c r="B110" s="5"/>
      <c r="C110" s="7"/>
      <c r="D110" s="7"/>
      <c r="E110" s="7"/>
      <c r="F110" s="7"/>
      <c r="G110" s="7"/>
      <c r="H110" s="7"/>
    </row>
    <row r="111" spans="1:8" ht="12.75">
      <c r="A111" s="11" t="s">
        <v>89</v>
      </c>
      <c r="B111" s="11"/>
      <c r="C111" s="9">
        <f>C77+C83+C109</f>
        <v>699816440.3199999</v>
      </c>
      <c r="D111" s="9">
        <f>D77+D83+D109</f>
        <v>628729453.13</v>
      </c>
      <c r="E111" s="9"/>
      <c r="F111" s="9"/>
      <c r="G111" s="9"/>
      <c r="H111" s="7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2021-11-25T11:29:16Z</cp:lastPrinted>
  <dcterms:created xsi:type="dcterms:W3CDTF">2015-01-13T12:52:34Z</dcterms:created>
  <dcterms:modified xsi:type="dcterms:W3CDTF">2022-01-31T08:01:45Z</dcterms:modified>
  <cp:category/>
  <cp:version/>
  <cp:contentType/>
  <cp:contentStatus/>
</cp:coreProperties>
</file>