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80" windowWidth="17190" windowHeight="7035" activeTab="0"/>
  </bookViews>
  <sheets>
    <sheet name="СВОД" sheetId="1" r:id="rId1"/>
    <sheet name="Лист1" sheetId="2" r:id="rId2"/>
  </sheets>
  <externalReferences>
    <externalReference r:id="rId5"/>
  </externalReferences>
  <definedNames>
    <definedName name="Excel_BuiltIn_Print_Area_1">#REF!</definedName>
    <definedName name="Excel_BuiltIn_Print_Titles_1">#REF!</definedName>
    <definedName name="_xlnm.Print_Titles" localSheetId="0">'СВОД'!$5:$8</definedName>
    <definedName name="_xlnm.Print_Area" localSheetId="0">'СВОД'!$C$1:$W$87</definedName>
  </definedNames>
  <calcPr fullCalcOnLoad="1"/>
</workbook>
</file>

<file path=xl/sharedStrings.xml><?xml version="1.0" encoding="utf-8"?>
<sst xmlns="http://schemas.openxmlformats.org/spreadsheetml/2006/main" count="714" uniqueCount="482">
  <si>
    <t>17</t>
  </si>
  <si>
    <t>ID_Form = 1000368</t>
  </si>
  <si>
    <t>6</t>
  </si>
  <si>
    <t>Дата вступления в силу и срок действия</t>
  </si>
  <si>
    <t>8</t>
  </si>
  <si>
    <t>29</t>
  </si>
  <si>
    <t>377</t>
  </si>
  <si>
    <t>…</t>
  </si>
  <si>
    <t>Наименование  номер и дата</t>
  </si>
  <si>
    <t>Номер статьи (подстатьи), пункта (подпункта )</t>
  </si>
  <si>
    <t xml:space="preserve"> Российской Федерации</t>
  </si>
  <si>
    <t>по плану</t>
  </si>
  <si>
    <t>по факту исполнения</t>
  </si>
  <si>
    <t>Код расхода по БК</t>
  </si>
  <si>
    <t>Наименование полномочия, расходного обязательства</t>
  </si>
  <si>
    <t>раздел</t>
  </si>
  <si>
    <t>подраздел</t>
  </si>
  <si>
    <t xml:space="preserve">Объем средств на исполнение расходного обязательства </t>
  </si>
  <si>
    <t>Итого расходных обязательств муниципальных образований</t>
  </si>
  <si>
    <t>х</t>
  </si>
  <si>
    <t>Правовое основание финансового обеспечения и расходования средств                                                                            (нормативные правовые акт, договоры, соглашения)</t>
  </si>
  <si>
    <t>01</t>
  </si>
  <si>
    <t>04</t>
  </si>
  <si>
    <t>05</t>
  </si>
  <si>
    <t>10</t>
  </si>
  <si>
    <t>03</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</si>
  <si>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</si>
  <si>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1) ст. 15, п. 1, п.п. 7
2) ст. 1, п. 1
3) ст. 11, п 2, п.п. "г"</t>
  </si>
  <si>
    <t>1) 01.01.2006, не установлен
2) 30.05.2001, не установлен
3) 21.12.1994,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</si>
  <si>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</si>
  <si>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Федеральный закон от 06.10.2003 № 131-ФЗ "Об общих принципах организации местного самоуправления в Российской Федерации"</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</si>
  <si>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</si>
  <si>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</si>
  <si>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</si>
  <si>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</si>
  <si>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 xml:space="preserve">1) ст. 34, п. 9
2) ст. 22, п. 2
</t>
  </si>
  <si>
    <t xml:space="preserve">1) Федеральный закон от 06.10.2003 № 131-ФЗ "Об общих принципах организации местного самоуправления в Российской Федерации"
</t>
  </si>
  <si>
    <t xml:space="preserve">1) ст. 19
</t>
  </si>
  <si>
    <t xml:space="preserve">1) Федеральный закон от 06.10.2003 № 131-ФЗ "Об общих принципах организации местного самоуправления в Российской Федерации"
</t>
  </si>
  <si>
    <t xml:space="preserve">1) ст.17, п 3
</t>
  </si>
  <si>
    <t>РАЙОН</t>
  </si>
  <si>
    <t>минус АРХИВ (- 440,0) минус учеба мун.служ. РОНО (-9,9) минус учеба Администрация (-67,8) минус КСИ (0)</t>
  </si>
  <si>
    <t>минус учеба ЕДДС (-25,0) минус учеба раб. учрежд. РОНО (-202,1) минус учеба раб. уч. РКСО (0)- раб уч. ХЭУ(-13,6)</t>
  </si>
  <si>
    <t>минус ФОТ Валявиной О. и Березиной О.</t>
  </si>
  <si>
    <t>ФОТ Валявиной О. и Березиной О.</t>
  </si>
  <si>
    <t>АРХИВ</t>
  </si>
  <si>
    <t>ВСЯ УЧЕБА</t>
  </si>
  <si>
    <t>ИТОГО</t>
  </si>
  <si>
    <t>2.2.2</t>
  </si>
  <si>
    <t>2.2.3</t>
  </si>
  <si>
    <t>2.2.4</t>
  </si>
  <si>
    <t>вычитаю из 1401 1220130 (2.3.3)</t>
  </si>
  <si>
    <t>2.3.1</t>
  </si>
  <si>
    <t>2.3.3</t>
  </si>
  <si>
    <t>2.3.4</t>
  </si>
  <si>
    <t>2.3.5</t>
  </si>
  <si>
    <t>2.3.7</t>
  </si>
  <si>
    <t>2.3.8</t>
  </si>
  <si>
    <t>2.3.9</t>
  </si>
  <si>
    <t>2.3.10</t>
  </si>
  <si>
    <t>2.3.11</t>
  </si>
  <si>
    <t>2.3.12</t>
  </si>
  <si>
    <t>2.3.13</t>
  </si>
  <si>
    <t>2.3.14</t>
  </si>
  <si>
    <t>2.3.19</t>
  </si>
  <si>
    <t>2.3.20</t>
  </si>
  <si>
    <t>2.3.24</t>
  </si>
  <si>
    <t>2.3.26</t>
  </si>
  <si>
    <t>2.3.27</t>
  </si>
  <si>
    <t>2.3.28</t>
  </si>
  <si>
    <t>2.3.29</t>
  </si>
  <si>
    <t>2.3.30</t>
  </si>
  <si>
    <t>2.3.31</t>
  </si>
  <si>
    <t>2.3.35</t>
  </si>
  <si>
    <t>2.3.36</t>
  </si>
  <si>
    <t>ВСЕГО</t>
  </si>
  <si>
    <t>пл</t>
  </si>
  <si>
    <t>ф</t>
  </si>
  <si>
    <t>мин уч. Мун служ.</t>
  </si>
  <si>
    <t>мин уч. Раб. Учр.</t>
  </si>
  <si>
    <t>1.2.1</t>
  </si>
  <si>
    <t>1.4</t>
  </si>
  <si>
    <t>1.4.1.4</t>
  </si>
  <si>
    <t>1.4.1.46</t>
  </si>
  <si>
    <t>1.1.1</t>
  </si>
  <si>
    <t>1.1.2</t>
  </si>
  <si>
    <t>1.1.9</t>
  </si>
  <si>
    <t>1.1.23</t>
  </si>
  <si>
    <t>1.2.5</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</si>
  <si>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</si>
  <si>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</si>
  <si>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1.1.3</t>
  </si>
  <si>
    <t>1.1.5</t>
  </si>
  <si>
    <t>02</t>
  </si>
  <si>
    <t>1.5</t>
  </si>
  <si>
    <t>1.5.3.1</t>
  </si>
  <si>
    <t>1.5.4.2.1</t>
  </si>
  <si>
    <t>1.1.14</t>
  </si>
  <si>
    <t>1.1.30</t>
  </si>
  <si>
    <t>1.4.1.5</t>
  </si>
  <si>
    <t>1.4.1.42</t>
  </si>
  <si>
    <t>1.4.1.37</t>
  </si>
  <si>
    <t>1.4.1.47</t>
  </si>
  <si>
    <t>1.4.1.43</t>
  </si>
  <si>
    <t>1.4.1.49</t>
  </si>
  <si>
    <t>1.4.1.40</t>
  </si>
  <si>
    <t>1.4.1.35</t>
  </si>
  <si>
    <t>1.4.1.28</t>
  </si>
  <si>
    <t>1.4.1.13</t>
  </si>
  <si>
    <t>1.4.1.15</t>
  </si>
  <si>
    <t>06.10.2003,
не установлен</t>
  </si>
  <si>
    <t>1.4.1.19</t>
  </si>
  <si>
    <t>1.4.1.30</t>
  </si>
  <si>
    <t>1.4.1.23</t>
  </si>
  <si>
    <t>1.4.1.16</t>
  </si>
  <si>
    <t>1.4.1.27</t>
  </si>
  <si>
    <t>1.4.1.33</t>
  </si>
  <si>
    <t>1.4.1.22</t>
  </si>
  <si>
    <t>1.4.1.32</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</si>
  <si>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</si>
  <si>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 ст. 15, п. 1, п.п. 6
2) ст. 6, п. 4
3) п. 1</t>
  </si>
  <si>
    <t>1) 01.01.2006, не установлен
2) 10.12.1995, не установлен
3) 15.12.2004, не установлен</t>
  </si>
  <si>
    <t>08</t>
  </si>
  <si>
    <t>1.1.6</t>
  </si>
  <si>
    <t>1.1.41</t>
  </si>
  <si>
    <t>1.1.21</t>
  </si>
  <si>
    <t>12</t>
  </si>
  <si>
    <t>ст.17, п. 1, аб. 6</t>
  </si>
  <si>
    <t>1.2.12</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</si>
  <si>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Минприроды России от 19.03.2012 № 69 "Об утверждении порядка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</si>
  <si>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</si>
  <si>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25.06.2012, не установлен</t>
  </si>
  <si>
    <t>1.1.13</t>
  </si>
  <si>
    <t>1.4.1.2</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</si>
  <si>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</si>
  <si>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</si>
  <si>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1.1.4</t>
  </si>
  <si>
    <t>1.4.1.8</t>
  </si>
  <si>
    <t>1.4.1.18</t>
  </si>
  <si>
    <t>1.1.7</t>
  </si>
  <si>
    <t>1.4.1.6</t>
  </si>
  <si>
    <t>1.4.1.7</t>
  </si>
  <si>
    <t>полностью</t>
  </si>
  <si>
    <t>1.1.22</t>
  </si>
  <si>
    <t>1.1.32</t>
  </si>
  <si>
    <t>1.4.1.44</t>
  </si>
  <si>
    <t>1.4.1.45</t>
  </si>
  <si>
    <t xml:space="preserve">Постановление Правительства РФ от 07.11.2005 № 659 "Об утверждении норм материального обеспечения детей-сирот и детей, оставшихся без попечения родителей, лиц из числа детей-сирот и детей, оставшихся без попечения родителей, обучающихся и воспитывающихся в федеральных государственных образовательных учреждениях, несовершеннолетних, обучающихся и воспитывающихся в федеральных государственных образовательных учреждениях - специальных профессиональных училищах открытого и закрытого типа и федеральном государственном учреждении "Сергиево Посадский детский дом слепоглухих Федерального агентства по здравоохранению и социальному развитию"
</t>
  </si>
  <si>
    <t>07.11.2005, не установлено</t>
  </si>
  <si>
    <t>1.4.1.10</t>
  </si>
  <si>
    <t>1.4.1.29</t>
  </si>
  <si>
    <t>1.1.31</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</si>
  <si>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</si>
  <si>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</si>
  <si>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1.2.13</t>
  </si>
  <si>
    <t>1.5.1</t>
  </si>
  <si>
    <t xml:space="preserve">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t>
  </si>
  <si>
    <t xml:space="preserve">1) ст. 15, п. 1, п.п. 16
2) ст. 4, п. 3
</t>
  </si>
  <si>
    <t xml:space="preserve">1) ст. 17, п. 8.1
2) ст. 11, п. 1, пп. 7
</t>
  </si>
  <si>
    <t xml:space="preserve">1) 06.10.2003,
не установлен
</t>
  </si>
  <si>
    <t>ст. 20</t>
  </si>
  <si>
    <t>1) Закон Российской Федерации от 10.07.1992 № 3266-1 "Об образовании"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 Российской Федерации от 29.12.2012 № 273-ФЗ "Об образовании в Российской Федерации"</t>
  </si>
  <si>
    <t xml:space="preserve">1) ст. 29, п. 6.1
2) ст. 26.3, п.2, п.п. 13
3) гл.7, гл. 10
</t>
  </si>
  <si>
    <t xml:space="preserve">1) 10.07.1992, 31.08.2013
2) 06.10.1999, не установлен
3) 01.09.2013, не установлен
</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</si>
  <si>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</si>
  <si>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1) 21.10.2005, не установлен
2)10.12.2004, 31.12.2013
3) 01.01.2014, не установлен</t>
  </si>
  <si>
    <t>07</t>
  </si>
  <si>
    <t>1) Федеральный закон от 06.10.2003 № 131-ФЗ "Об общих принципах организации местного самоуправления в Российской Федерации"
2) Федеральный закон от 04.12.2007 №329-ФЗ "О физической культуре и спорте в Российской Федерации"
3) Постановление Правительства Российской Федерации от 24.07.2000 №551 "О военно-патриотических молодежных объединениях"</t>
  </si>
  <si>
    <t>1) ст. 15, п. 1, п.п. 27
2) ст. 13
3) п. 1, утвержденного положения</t>
  </si>
  <si>
    <t>1) 01.01.2006, не установлен
2) 04.12.2009, не установлен
3) 24.07.2000, не установлен</t>
  </si>
  <si>
    <t>1. Расходные обязательства, возникшие в результате принятия нормативных правовых актов Княгининского  района, заключения договоров (соглашений) в рамках реализации вопросов местного значения муниципального района, всего</t>
  </si>
  <si>
    <t>в том числе:</t>
  </si>
  <si>
    <t>1.3.владение, пользование и распоряжение имуществом, находящимся в муниципальной собственности муниципального района</t>
  </si>
  <si>
    <t>1.4.организация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</si>
  <si>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1.6.создание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</si>
  <si>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1.9.участие в предупреждении и ликвидации последствий чрезвычайных ситуаций на территории муниципального района</t>
  </si>
  <si>
    <t>1.13.организация мероприятий межпоселенческого характера по охране окружающей среды</t>
  </si>
  <si>
    <t>1.19.формирование и содержание муниципального архива, включая хранение архивных фондов поселений</t>
  </si>
  <si>
    <t>1.32.организация и осуществление мероприятий межпоселенческого характера по работе с детьми и молодежью</t>
  </si>
  <si>
    <t>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</si>
  <si>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2.1.функционирование органов местного самоуправления</t>
  </si>
  <si>
    <t>2.5.создание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</si>
  <si>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2.13.учреждение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</si>
  <si>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2.15.организация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</si>
  <si>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3. Расходные обязательства, возникшие в результате принятия нормативных правовых актов Княгининского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</si>
  <si>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3.1.4.Субвенции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</si>
  <si>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3.1.8.Субвенции на исполнение полномочий в сфере общего образования в муниципальных общеобразовательных организациях</t>
  </si>
  <si>
    <t>3.1.27. 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</si>
  <si>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3.1.44.Субвенции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</si>
  <si>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9</t>
  </si>
  <si>
    <t>всего</t>
  </si>
  <si>
    <t>БДО</t>
  </si>
  <si>
    <t>БПО</t>
  </si>
  <si>
    <t>3.1.24.Субвенции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</si>
  <si>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Федеральный закон от 21.12.1996 № 159-ФЗ "О дополнительной гарантии социальной поддержки детей сирот и детей , оставшихся без попечения родителей"</t>
  </si>
  <si>
    <t>23.12.1996
не установлен</t>
  </si>
  <si>
    <t>01           03         01         04</t>
  </si>
  <si>
    <t>04            09         13         10</t>
  </si>
  <si>
    <t>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</si>
  <si>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 xml:space="preserve">3.1.50. Субвенция на  организацию и осуществление деятельности по опеке и попечительству в отношении совершеннолетних граждан
</t>
  </si>
  <si>
    <t xml:space="preserve"> субъекта Российской Федерации, органа местного самоуправления</t>
  </si>
  <si>
    <t>01          01          04</t>
  </si>
  <si>
    <t xml:space="preserve">04            13            10    </t>
  </si>
  <si>
    <t>Наименование субъекта бюджетного планирования  (для реестра расходных обязательств субъекта бюджетного планирования районного бюджета)</t>
  </si>
  <si>
    <t>Единица измерения: тыс руб (с точностью до первого десятичного знака)</t>
  </si>
  <si>
    <t>1.16 участие в организации деятельности по сбору (в том числе раздельному сбору), транспортированию , обработке, утилизации, обезвреживанию, захоронению тко на территории соответствующих муниципальных районов</t>
  </si>
  <si>
    <t>4.4.2. в иных случаях, не связанных с заключением соглашений, предусмотренных в подпункте 1.4.1, всего</t>
  </si>
  <si>
    <t>4. Расходные обязательства, возникшие в результате принятия нормативных правовых актов Княгининского района, заключения соглашений, предусматривающих предоставление межбюджетных трансфертов из бюджетаКнягининского района другим бюджетам бюджетной системы Российской Федерации, всего</t>
  </si>
  <si>
    <t>4.1. по предоставлению
дотаций на выравнивание бюджетной обеспеченности городских, сельских поселений, всего</t>
  </si>
  <si>
    <t>4.2. по предоставлению субсидий в бюджет субъекта Российской Федерации, всего</t>
  </si>
  <si>
    <t>4.3.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</si>
  <si>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в том числе</t>
  </si>
  <si>
    <t>4.4. по предоставлению иных межбюджетных трансфертов, всего</t>
  </si>
  <si>
    <t>4.4.1.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</si>
  <si>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3.1. за счет субвенций, предоставленных из
федерального бюджета или бюджета субъекта Российской Федерации, всего</t>
  </si>
  <si>
    <t xml:space="preserve">1) 06.10.2003, не установлен                            
</t>
  </si>
  <si>
    <t>06.10.2003, не установлен</t>
  </si>
  <si>
    <t>1) 06.10.2003, не установлен
2) 27.12.1991, не установлен</t>
  </si>
  <si>
    <t>1) 06.10.2003, не установлен
2) 02.03.2007, не установлен</t>
  </si>
  <si>
    <t xml:space="preserve">1) 06.10.2003, не установлен
2) 22.10.2004, не установлен
</t>
  </si>
  <si>
    <t>1) 06.10.2003, не установлен
2) 26.03.2003, не установлен
3) 31.03.1999, не установлен</t>
  </si>
  <si>
    <t>1) 06.10.2003, не установлен
2) 21.12.2001, не установлен</t>
  </si>
  <si>
    <t xml:space="preserve">Федеральный закон от 06.10.2003 № 131-ФЗ "Об общих принципах организации местного самоуправления в Российской Федерации"
</t>
  </si>
  <si>
    <t xml:space="preserve">06.10.2003, не установлен
</t>
  </si>
  <si>
    <t xml:space="preserve"> ст. 15
</t>
  </si>
  <si>
    <t xml:space="preserve"> ст. 15
</t>
  </si>
  <si>
    <t>1.42.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</si>
  <si>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06       05</t>
  </si>
  <si>
    <t>03         02</t>
  </si>
  <si>
    <t>Администрация Княгининского муниципального района</t>
  </si>
  <si>
    <t xml:space="preserve">
10      05</t>
  </si>
  <si>
    <t xml:space="preserve">
03         02</t>
  </si>
  <si>
    <t>05     04</t>
  </si>
  <si>
    <t xml:space="preserve">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t>
  </si>
  <si>
    <t xml:space="preserve">1) ст. 15, п. 1, п.п. 4
2) ст. 21, п. 4, абз. 14
</t>
  </si>
  <si>
    <t xml:space="preserve">1) 06.10.2003, не установлен
2) 26.03.2003, не установлен
</t>
  </si>
  <si>
    <t xml:space="preserve">
01</t>
  </si>
  <si>
    <t xml:space="preserve">
13</t>
  </si>
  <si>
    <t>1.40.организация в границах сельского поселения электро-, тепло-, газо- и водоснабжения населения, водоотведения, снабжение населения топливом в пределах полномочий, установленных законодательством Российской Федерации</t>
  </si>
  <si>
    <t xml:space="preserve">1) 06.10.2003, не установлен
</t>
  </si>
  <si>
    <t xml:space="preserve">1) полностью
</t>
  </si>
  <si>
    <t>12                         13       01</t>
  </si>
  <si>
    <t>04                      01     05</t>
  </si>
  <si>
    <t>02     12</t>
  </si>
  <si>
    <t>05     05</t>
  </si>
  <si>
    <t>01    03</t>
  </si>
  <si>
    <t>1.66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</si>
  <si>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3.1.51.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
</t>
  </si>
  <si>
    <t>отчетный  2021 год</t>
  </si>
  <si>
    <t>текущий 
 2022 год</t>
  </si>
  <si>
    <t>очередной 2023 год</t>
  </si>
  <si>
    <t>05     04     01    11</t>
  </si>
  <si>
    <t xml:space="preserve">03    09    13    02   </t>
  </si>
  <si>
    <t>Реестр расходных обязательств муниципальных образований, входящих в состав Нижегородской области  на 05.04.2022г.</t>
  </si>
  <si>
    <t>1.7.участие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</si>
  <si>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 xml:space="preserve">ст. 15, п. 1, п.п. 2
</t>
  </si>
  <si>
    <t>09</t>
  </si>
  <si>
    <t>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</si>
  <si>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                                                                                4) Закон Российской Федерации от 29.12.2012 № 273-ФЗ "Об образовании в Российской Федерации"
</t>
  </si>
  <si>
    <t xml:space="preserve">1) ст. 15, п. 1, п.п. 11
2) ст. 5
3) ст. 5
4) гл.7, гл. 10
</t>
  </si>
  <si>
    <t xml:space="preserve">1) 06.10.2003, не установлен
2) 10.07.1992, не установлен
3) 21.12.1996, не установлен
4) 01.09.2013, не установлен 
</t>
  </si>
  <si>
    <t>04
07
07
07
07                                                                                                                                                                                                          07</t>
  </si>
  <si>
    <t>01
01
02                                                 03
07
09</t>
  </si>
  <si>
    <t xml:space="preserve">3.1.2.Субвенции на исполнение полномочий в сфере общего образования в муниципальных дошкольных образовательных организациях </t>
  </si>
  <si>
    <t>3.1.6.Субвенции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</si>
  <si>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ст. 19, п. 5</t>
  </si>
  <si>
    <t xml:space="preserve">3.1.7.Субвенции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</si>
  <si>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 ст. 6, п. 1
2) ст. 2, ст. 3
                                                                                                                                                                                                                                                                                                                                                                                                                                                                                                                                                                                                               3) полностью</t>
  </si>
  <si>
    <t>0</t>
  </si>
  <si>
    <t xml:space="preserve">3.1.9.Субвенции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</si>
  <si>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 Закон Российской Федерации от 10.07.1992 № 3266-1 "Об образовании"                                                               2) Закон Российской Федерации от 29.12.2012 № 273-ФЗ "Об образовании в Российской Федерации"</t>
  </si>
  <si>
    <t>ст. 52.2, п. 3</t>
  </si>
  <si>
    <t>1) 10.07.1992,
31.12.2013
2) 01.09.2013, не установлен</t>
  </si>
  <si>
    <t>3.1.17.Субвенции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</si>
  <si>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Российской Федерации"</t>
  </si>
  <si>
    <t>1) ст. 19
2) ст. 5, п. 2, ст. 12</t>
  </si>
  <si>
    <t>1) 06.10.2003, не установлен
2) 03.08.1998, не установлен</t>
  </si>
  <si>
    <t>3.1.48..Субвенции на исполнение полномочий по финансовому обеспечению осуществления присмотра и  ухода за детьми-инвалидами, детьми-сиротами и детьми,оставшимися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</si>
  <si>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3.1.49..Субвенции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t>
  </si>
  <si>
    <t>3.1.60..Субвенции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основного общего и среднего общего обоазования, в том числе адаптированные основные общеобразовательные программы.</t>
  </si>
  <si>
    <t>3.1.61..Субвенции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образования</t>
  </si>
  <si>
    <t>3.1.5.Субвенции  на осуществление полномочий по поддержке сельскохозяйственного производства</t>
  </si>
  <si>
    <t>3.1.28. Субвенция на возмещение части затрат на приобретение оборудования и техники  за счет средств областного бюджета</t>
  </si>
  <si>
    <t>в целом</t>
  </si>
  <si>
    <t>3.1.52 Субсидия на возмещение части затрат на поддержку элитного семеноводства за счет средств областного бюджета</t>
  </si>
  <si>
    <t>3.1.53 Сусидии на возмещение части затрат на поддержку племенного животноводства  за счет средств областного бюджета</t>
  </si>
  <si>
    <t>3.1.54. Субсидии на осуществление полномочий по организации проведения мероприятий при осуществлении деятельности по обращению с животными в части отлова и содержания животных без владельцев</t>
  </si>
  <si>
    <t>3.1.55. Субсидии на возмещение части затрат на поддержку собственного производства молока за счет средств федерального  бюджета</t>
  </si>
  <si>
    <t>Постановление Правительства  России от 30.11.2019г. " 1573 "О внесении изменений в государственную программу развития сельского хозяйства и регулирования рынков сельскохозяйственной продукции, сырья и продовольствия и признании утратившим силу отдельных актов и отдельных положений актов Правительства РФ"</t>
  </si>
  <si>
    <t>В целом</t>
  </si>
  <si>
    <t>01.01.2020г. "Не установлена"</t>
  </si>
  <si>
    <t>3.1.56. Субсидия на возмещение части затрат, связанных с производством, реализацией и отгрузкой на собственную переработку сельскохозяйственных культур по ставке на 1 гектар за счет средств областного бюджета</t>
  </si>
  <si>
    <t>3.1.57. Субсидии на возмещение части затрат на поддержку собственного производства молока за счет средств областного бюджета</t>
  </si>
  <si>
    <t>3.1.58. Субвенции на возмещение части затрат на поддержку элитного семеноводства за счет средств федерального  бюджета</t>
  </si>
  <si>
    <t>3.1.59. Субсидия на возмещение части затрат, связанных с производством, реализацией и отгрузкой на собственную переработку сельскохозяйственных культур по ставке на 1 гектар за счет средств федерального бюджета</t>
  </si>
  <si>
    <t>3.1.64Субсидии на возмещение части затрат на производство и реализацию зерновых культур за счет средств областного бюджета</t>
  </si>
  <si>
    <t>3.1.65 Субсидии на возмещение части затрат на производство и реализацию зерновых культур за счет средств федерального бюджета</t>
  </si>
  <si>
    <t>3.1.66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федерального бюджета</t>
  </si>
  <si>
    <t>3.1.67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областного бюджета</t>
  </si>
  <si>
    <t>4.5 по предоставлению субсидий, в том числе:</t>
  </si>
  <si>
    <t>81,4</t>
  </si>
  <si>
    <t>4.5.1. Субсидии из районного бюджета на обработку территории населенных пунктой поселений Княгининского муниципального района от борщевика Сосновского</t>
  </si>
  <si>
    <t>11.11.2020г., " не установлена"</t>
  </si>
  <si>
    <t>1.1.Составление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</si>
  <si>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1) ст. 15, п. 1, п.п. 1
2) ст. 22, п. 2
</t>
  </si>
  <si>
    <t>1)  06.10.2003, не установлен, не установлен
2) 02.03.2007, не установлен</t>
  </si>
  <si>
    <t>06</t>
  </si>
  <si>
    <t>1.2. Установление, изменение и отмена местных налогов и сборов муниципального района</t>
  </si>
  <si>
    <t xml:space="preserve"> 06.10.2003, не установлен, не установлен</t>
  </si>
  <si>
    <t>01
03        04
05</t>
  </si>
  <si>
    <t>11
09         10             02</t>
  </si>
  <si>
    <t>10
10</t>
  </si>
  <si>
    <t>03
04</t>
  </si>
  <si>
    <t xml:space="preserve">1) ст. 60
</t>
  </si>
  <si>
    <t>14</t>
  </si>
  <si>
    <t>10.12.2010, не установлен</t>
  </si>
  <si>
    <t>4.5.2. Бюджетам поселений</t>
  </si>
  <si>
    <t>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</si>
  <si>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Федеральный Закон от 06.10.2003 №131-ФЗ, «Об общих принципах организации местного самоуправления в Российской Федерации»</t>
  </si>
  <si>
    <t>ст.15, п.1 п.п.11</t>
  </si>
  <si>
    <t>06.10,2003</t>
  </si>
  <si>
    <t>11</t>
  </si>
  <si>
    <t>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</si>
  <si>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Федеральный Закон от 29.12.1994 №78-ФЗ "О библиотечном деле"</t>
  </si>
  <si>
    <t>ст.15, п.1,п.п.19, ст.4, п.1</t>
  </si>
  <si>
    <t>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</si>
  <si>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Федеральный Закон  от 06.10.2003 №131-ФЗ «Об общих принципах организации местного самоуправления в Российской Федерации»</t>
  </si>
  <si>
    <t>ст.15, п.1 п.п.19.1</t>
  </si>
  <si>
    <t>08
04          08</t>
  </si>
  <si>
    <t xml:space="preserve">02
01            01      </t>
  </si>
  <si>
    <t>01             03           04        07        07
07        12
04
08</t>
  </si>
  <si>
    <t>13             09            12         03         07
09       01
08
04</t>
  </si>
  <si>
    <t>01         01        04        10        10       01
03
04
04
05
07
11
08</t>
  </si>
  <si>
    <t>04         13         10         01         03         02
14         08
05
01
09
05
04</t>
  </si>
  <si>
    <t>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некомерческим организациям, благотворительной деятельности и добровольчеству</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</si>
  <si>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10.01.1996 № 4-ФЗ "О мелиорации земель"                                                 </t>
  </si>
  <si>
    <t xml:space="preserve">1) ст. 15, п. 1, п.п. 25
2) ст. 11
3) ст. 16
</t>
  </si>
  <si>
    <t xml:space="preserve">1) 06.10.2003, не установлен
2) 24.07.2007, 31.12.2013
3) 10.01.1996, не установлен
</t>
  </si>
  <si>
    <t>04
04</t>
  </si>
  <si>
    <t>12
05</t>
  </si>
  <si>
    <t>01
01</t>
  </si>
  <si>
    <t>03
06</t>
  </si>
  <si>
    <t>1) Закон Нижегородской области от 03.08.2007 № 99-З "О муниципальной службе в Нижегородской области" 2)Решение Земского собрания Княгининского муниципального района Нижегородской области от 29.12.2019 №69 "Об утверждении Положения о финансовом управлении администрации Княгининского муниципального района Нижегородской области в новой редакции" 3) Постановление администрации Княгининского муниципального района Нижегородской области от 02.12.2019 № 963 "Об утверждении муниципальной программы Княгининского муниципального района Нижегородской области "Управление муниципальными финансами Княгининского муниципального района" на 2020-2024 годы"</t>
  </si>
  <si>
    <t>1)ст. 38, абз, 1; 2) раздел 1, пункт 1.6; 3)  полностью</t>
  </si>
  <si>
    <t xml:space="preserve">1)03.08.2007, не установлен; 2) 29.11.2019, не установлен; 3) 01.01.2020-31.12.2024
</t>
  </si>
  <si>
    <t xml:space="preserve">1)ст. 1, п. 1; 2)в целом  3) подпункт 10 пункта 3.2.  части 3 Положения
</t>
  </si>
  <si>
    <t>1)Закон Нижегородской области от 13.07.2004 № 70-З "О приватизации государственного имущества в Нижегородской области"2)Постановление администрации Княгининского муниципального района Нижегородской области от 02.12.2019 №961 "Об утверждении муниципальной программы Княгининского муниципального района Нижегородской области «Управление муниципальной собственностью Княгининского муниципального района Нижегородской области» на 2020-2024 годы" 3)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</si>
  <si>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13.07.2004, не установлен; 2)01.01.2020-31.12.2024 3)23.04.2010. не установлен</t>
  </si>
  <si>
    <t>1) Закон Нижегородской области от 05.09.2012 № 117-З "Об энергосбережении и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 3)Постановление администрации княгининского района от 17.03.2016 №666 "О порядке предоставления материальной помощи гражданам, находящимся в трудной жизненной ситуации" 4)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5)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</si>
  <si>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1) ст.5, абз, 11; 2) полностью; 3) в целом; 4) в целом;5)подпункт 20 пункта 3.2.  части 3 Положения
</t>
  </si>
  <si>
    <t>1) 05.09.2012, не установлен; 2) 26.06.2008, не установлен; 3) 17.03.2016, не установлен 4) 01.01.2020- 31.12.2024; 5)23.04.2010. не установлен</t>
  </si>
  <si>
    <t>1) Постановление Правительства Нижегородской области от 21.01.2005 № 3 "О введении на территории Нижегородской области единого социального проездного билета"
2)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 3)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4)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</si>
  <si>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2) п. 6;  2) полностью; 3) в целом 4)подпункт 22 пункта 3.2.  части 3 Положения
                                </t>
  </si>
  <si>
    <t xml:space="preserve">1) 21.01.2005, не установлен;   2) 01.04.2009-11.01.2016; 3) 01.01.2020- 31.12.2024 4)23.04.2010. не установлен
                            </t>
  </si>
  <si>
    <t xml:space="preserve"> 1)Закон Нижегородской области от 06.07.2012 №88-З "О профилактике правонарушений в Нижегородской области"; 2)Постановление администрации Княгининского муниципального района Нижегородской области от 18.11.2019 №901 "Об утверждении муниципальной программы Княгининского муниципального района Нижегородской области"Обеспечение безопасности жизни населения Княгининского муниципального района Нижегородской области" на 2020-2024 годы" 3)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</si>
  <si>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ст.11; 2)в целом; 3)подпункт 40 пункта 3.2.  части 3 Положения</t>
  </si>
  <si>
    <t>1)28.07.2012; 2)01.01.2020-31.12.2024 3)23.04.2010.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</si>
  <si>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 3)Постановление администрации Княгининского муниципального района Нижегородской области от 18.11.2019 №901 "Об утверждении муниципальной программы Княгининского муниципального района Нижегородской области"Обеспечение безопасности жизни населения Княгининского муниципального района Нижегородской области" на 2020-2024 годы" 4)Решение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</si>
  <si>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1) ст. 24; 2) п. 7; 3)в целом 4)подпункт 23 пункта 3.2.  части 3 Положения
</t>
  </si>
  <si>
    <t xml:space="preserve">1) 04.01.1996, не установлен; 
2) 05.05.2006, не установлен; 3)01.01.2020-31.12.2024 4)23.04.2010. не установлен
</t>
  </si>
  <si>
    <t>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3)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4) Постановление администрации Княгининского района Нижегородской области от 28.10.2016 №1963 "Об утверждении Положения об организации мероприятий межпоселенческого характера по охране окружающей среды на территории Княгининского района"</t>
  </si>
  <si>
    <t xml:space="preserve">1) 10.09.1996, не установлен; 2) 07.09.2007, не установлен; 3) 01.01.2020- 31.12.2024 4) 28.102016, не установлен
</t>
  </si>
  <si>
    <t>1) Закон Нижегородской области от 30.12.2005 № 212-З "О социальной поддержке отдельных категорий граждан в целях реализации их права на образование";2) Постановление администрации Княгининского муниципального района Нижегородской области от 02.12.2019 № 970 "Об утверждении муниципальной программы Княгининского муниципального района Нижегородской области "Развиие образования Княгининского муниципального района Нижегородской области" на 2020-2024 годы" 3) 3)Постановление администрации Княгининского муниципального района Нижегородской области от 02.12.2019 № 974 "Об утверждении муниципальной программы Княгининского муниципального района Нижегородской области "Развиие культуры, молодежной политики и туризма Княгининского муниципального района Нижегородской области" на 2020-2024 годы" 4)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</si>
  <si>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1) ст. 11, п. 2; 2)в целом; 3)в целом; 4)подпункт 26 пункта 3.2.  части 3 Положения
</t>
  </si>
  <si>
    <t xml:space="preserve">1) 30.12.2005, не установлен; 2) 01.01.2020- 31.12.2024 3)01.01.2020- 31.12.2024 4)23.04.2010. не установлен
</t>
  </si>
  <si>
    <t xml:space="preserve">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t>
  </si>
  <si>
    <t xml:space="preserve">1) ст. 18; 2) ст. 7, абз. 1, п. 3; 3) в целом 4) в целом
</t>
  </si>
  <si>
    <t>01.01.2020- 31.12.2024</t>
  </si>
  <si>
    <t xml:space="preserve"> 1)ст .8, п. 2; 2)пункт 1.7 3)подпункт 30 пункта 3.2.  части 3 Положения</t>
  </si>
  <si>
    <t>1)22.12.2005, не установлен; 2)21.11.2017, не установлен 3) 23.04.2010. не установлен</t>
  </si>
  <si>
    <t>1)Закон Нижегородской области от 22.12.2005 № 209-З "Об архивном деле в Нижегородской области"; 2)Распоряжение администрации Княгининского района Нижегородской области от 22.11.2017 №230-р "Об утверждении Положения об архиве  Княгининского района Нижегородской области" 3)Решение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</si>
  <si>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 1)Постановление Правительства Нижегородской области от 25.12.2015 №206-З "О промышленной политике в Нижегородской области"2)Постановление администрации Княгининского района Нижегородской области от 12.04.2017 №453 "Об утверждении Порядка предоставления субсидий из бюджета  Княгининского района Нижегородской области на возмещение затрат по оказанию услуг банного комплекса" 3) Постановление администрации Княгининского муниципального района Нижегородской области от 19.03.2021 №254 "Об утверждении Порядка предоставленияиз бюджета  Княгининского муниципального района субсидий на возмещение недополученных доходов предприятий, оказывающих населению услуги   банного комплекса на территории города Княгинино Княгининского района Нижегородской области"</t>
  </si>
  <si>
    <t>1) ст.9; 2)в целом 3) в целом</t>
  </si>
  <si>
    <t>1)25.12.2015, не установлен; 2)12.04.2017- 19.03.2021 3) 19.03.2021, не установлен</t>
  </si>
  <si>
    <t>1)Постановление администрации Княгининского муниципального района Нижегородской области от 02.12.2019 № 974 "Об утверждении муниципальной программы Княгининского муниципального района Нижегородской области "Развиие культуры, молодежной политики и туризма Княгининского муниципального района Нижегородской области" на 2020-2024 годы" 2)Решение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</si>
  <si>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в целом 2)подпункт 31 пункта 3.2.  части 3 Положения</t>
  </si>
  <si>
    <t>1) 01.01.2020- 31.12.2024 2) 23.04.2010. не установлен</t>
  </si>
  <si>
    <t>1) Постановление Правительства Нижегородской области от 16.09.2010 №618 "Об утверждении комплексной целевой программы развития малого предпринимательства в Нижегородской области на 2011 - 2015 годы"                                                    2) Постановление Правительства Нижегородской области от 28.10.2013 № 780 (ред. от 03.03.2014) "Об утверждении государственной программы "Развитие предпринимательства и туризма Нижегородской области на 2014 - 2016 годы"                                                                                     3) Постановление Правительства Нижегородской области от 29.04.2014 № 290 "Об утверждении государственной программы "Развитие предпринимательства и туризма Нижегородской области"; 4)Постановление администрации Княгининского района Нижегородской области от 19.10.2018 № 831 "Об утверждении Порядка предоставления грантов в форме субсидий сельхозтоваропроизводителям за достижение на илучших показателей в развитии сельского хозяйства" 5)Решение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 6) Постановление администрации Княгининского муниципального района Нижегородской области от 02.12.2019 №964 "Об утверждении муниципальной программы Княгининского муниципального района Нижегородской области "Развитие предпринимательства Княгининского муниципального района" на 2020-2024 годы" 7) Постановление администрации Княгининского муниципального района Нижегородской области от 10.04.2020 №369 "О порядке предоставления субсидии на развитие Автономной некоммерческой организации "Княгининский центр развития бизнеса"</t>
  </si>
  <si>
    <t>1) п.3; 2) п.1; 3)пункт 6; 4)в целом; 5)подпункт 37 пункта 3.2.  части 3 Положения; 6) в целом; 7) в целом
3) п.1</t>
  </si>
  <si>
    <t>1) 16.09.2010-31.12.2013; 2) 03.03.2014, 31.12.2015; 4)19.10.2018, не установлен 5)23.04.2010. не установлен; 6) 01.01.2020-31.12.2024 7) 10.04.2020, не установлен
3)01.01.2015, не установлен</t>
  </si>
  <si>
    <t>1) Постановление администрации Княгининского муниципального района Нижегородской области от 02.12.2019 № 973 "Об утверждении муниципальной программы Княгининского муниципального района Нижегородской области "Развиие физической культуры и спорта  Княгининского муниципального района Нижегородской области" на 2020-2024 годы"  2)Решение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</si>
  <si>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в целом 2)подпункт 38 пункта 3.2.  части 3 Положения</t>
  </si>
  <si>
    <t>1) 01.01.2020- 31.12.2024 2)23.04.2010. не установлен</t>
  </si>
  <si>
    <t xml:space="preserve">1) Закон Нижегородской области от 25.04.1997 № 70-З "О молодежной политике"; 2)Постановление администрации Княгининского муниципального района Нижегородской области от 02.12.2019 № 974 "Об утверждении муниципальной программы Княгининского муниципального района Нижегородской области "Развиие культуры, молодежной политики и туризма Княгининского муниципального района Нижегородской области" на 2020-2024 годы"  3)Постановление администрации Княгининского муниципального района Нижегородской области от 02.12.2019 № 971 "Об утверждении муниципальной программы Княгининского муниципального района Нижегородской области "Обеспечение граждан   Княгининского муниципального района Нижегородской области доступным и комфортным жильем" на 2020-2024 годы"4) Постановление администрации Княгининского муниципального района Нижегородской области 16.06.2020 №559 "Об организации отдыха, оздоровления и занятости детей и молодежи Княгининского муниципального района Нижегородской области"
                                                                                                           </t>
  </si>
  <si>
    <t xml:space="preserve">1) ст. 8, п. 2; 2)в целом; 3) в целом; 4)подпункт 2.1. пункта 2 
</t>
  </si>
  <si>
    <t xml:space="preserve">1) 25.04.1997, не установлен; 2) 01.01.2020- 31.12.2024 3) 01.01.2020- 31.12.2024 4) 16.06.2020, не установлен
</t>
  </si>
  <si>
    <t xml:space="preserve">1) Закон Нижегородской области от 05.09.2012 № 117-З "Об энергосбережении и повышении энергетической эффективности на территории Нижегородской области"; 2)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3)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
</t>
  </si>
  <si>
    <t xml:space="preserve">1) ст.5, абз, 11; 2) в целом 3)подпункт 20 пункта 3.2.  части 3 Положения
</t>
  </si>
  <si>
    <t xml:space="preserve">1) 05.09.2012, не установлен; 2) 01.01.2020- 31.12.2024 3)23.04.2010. не установлен
</t>
  </si>
  <si>
    <t>1) Постановление Правительства Нижегородской области от 29.03.2019г. №168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2019-2025 годы"; 2)Решение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</si>
  <si>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полностью; 2) подпункт 6 пункта 3.2. части 3 Положения</t>
  </si>
  <si>
    <t>в цедом</t>
  </si>
  <si>
    <t>1) 29.03.2019, не установлен; 2) 23.04.2010, не установлен</t>
  </si>
  <si>
    <t xml:space="preserve"> 23.04.2010, не установлен</t>
  </si>
  <si>
    <t>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</si>
  <si>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3)Решение Земского собрания Княгининского района от 23.04.2010 N 25 “Об утверждении Положения об администрации Княгининского района Нижегородской области в новой редакции“ 4) Решение Земского собрания Княгининского района Нижегородской области от 21.03.2017 № 12 "Об утверждении Положения о  муниципальной службе в  Княгининском районе Нижегородской области"</t>
  </si>
  <si>
    <t>1) ст. 38, абз, 1; 2) ст. 6; 3)пункт 1.5.; 4) статья 43</t>
  </si>
  <si>
    <t>1) 03.08.2007, не установлен; 2) 10.10.2003, не установлен; 3) 23.04.2010, не установлен 4)21.03.2017, не установлен</t>
  </si>
  <si>
    <t xml:space="preserve"> 1)Постановление Правительства Нижегородской области от 29.11.2010 №848 "О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области";2)Постановление администрации Княгининского района Нижегородской области от 08.11.2010 №996 "О порядке осуществления органами местного самоуправления Княгининского района функций и полномочий учредителя муниципального учреждения Княгининского района" 3)Решение Земского собрания Княгининского района от 23.04.2010 N 25 “Об утверждении Положения об администрации Княгининского района Нижегородской области в новой редакции“</t>
  </si>
  <si>
    <t>1) п.4; 2)в целом 3)подпункт 12 пункта 3.2. части 3 Положения</t>
  </si>
  <si>
    <t>1) 01.01.2011, не установлен; 2)01.01.2011, не установлен 3) 23.04.2020, не установлен</t>
  </si>
  <si>
    <t xml:space="preserve">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2) Постановление администрации Княгининского района Нижегородской области от 20.02.2018 №202 "Об утверждении Положения о порядке представления субсидий на оказание финансовой поддержки средств массовой информации" 3) Постановление администрации Княгининского муниципального района Нижегородской области от 12.02.2021 №112 "О  субсидиях, выделенных из областного бюджета бюджету Княгининского муниципального района Нижегородской области на оказание частичной финансовой поддержкирайонных (городских) средств массовой информации" </t>
  </si>
  <si>
    <t>1) п.10, абз. 1; 2) пункт 1 3) в целом</t>
  </si>
  <si>
    <t xml:space="preserve">1) 19.05.2006, не установлен; 2) 01.01.2018, не установлен 3) 12.02.2021, не установлен     </t>
  </si>
  <si>
    <t>1)Закон Нижегородской области от 03.08.2007 № 99-З "О муниципальной службе в Нижегородской области";  2)Решение Земского собрания княгининского района от 21.03.2017 №12 "Об утверждении Положения о муниципальной службе в княгининском районе Нижегородской области" "3)Решение Земского собрания Княгининского района от 23.04.2010 N 25 “Об утверждении Положения об администрации Княгининского района Нижегородской области в новой редакции“</t>
  </si>
  <si>
    <t>1)ст. 10, п. 1, пп. 7; 2) подпункт 7 пункта 3.2. части 3 Положения</t>
  </si>
  <si>
    <t>1)03.08.2007, 
не установлен; 2) 07.04.2017, не установлен 3) 23.04.2010, не установлен</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</si>
  <si>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4)Решение Земского собрания Княгининского района от 29.04.2014 №297 "Об утверждении Положения о порядке распределения и использования средств, полученных в виде субвенций из областного бюджета на исполнение полномочий в области общего образования"   5)Решение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</si>
  <si>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ст. 6, п. 1                                                                                                                                                                                                                                                                                                                                                                                                                                                                                                                                                                                                                                                                                                    2) ст. 2, ст. 3; 3) полностью; 4)пункт 1; 5) пункт 1.1.</t>
  </si>
  <si>
    <t>1) 21.10.2005, не установлен; 2)10.12.2004, 31.12.2013
3) 01.01.2014, не установлен; 4)01.01.2014, не установлен; 5) 23.04.2010,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</si>
  <si>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 3)Решение Земского собрания Княгининского района от 26.06.2008 №30 "Об утверждении Положения о порядке осуществления государственных полномочий по созданию и организации деятельности комиссиии по делам несовершкеннолетних и защите их прав"  4)Решение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</si>
  <si>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ст. 7, п. 2; 2) ст. 1, ст. 5; 3)полностью 4) пункт 1.1.</t>
  </si>
  <si>
    <t>1) 26.10.2006, не установлен
2) 07.09.2007, не установлен; 3)26.06.2008; 4) 23.04.2010, не установлен</t>
  </si>
  <si>
    <t>1)Закон Нижегородской области от 11.11.2005г.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2)Постановление администрации Княгининского района от 22.09.2016 №1737"О субвенциях, выделяемых бюджету Княгининского района на осуществление государственных полномочий по поддержке сельскохозяйственного производства"</t>
  </si>
  <si>
    <t>1)ст.1 подстатья1; 2) в целом</t>
  </si>
  <si>
    <t>1)01.01.2016г.,"не установлена"; 2)01.01.2016, не установлен</t>
  </si>
  <si>
    <t>1)Закон Нижегородской области от 21.10.2005 № 140-З "О наделении органов местного самоуправления отдельными государственными полномочиями в области образования"; 2)Постановление администрации Княгининского района от 17.02.2015 №400 "Об утверждении Порядка расъходования и использования субвенции, предоставляемой бюджету княгининского района на осуществление отдельных государственных полномочий по организационному и информационно-техническому сопровождению аттестации педагогических работников муниципальных образовательных организаций Княгининского района, с целью установления соответствия уровня квалификации требованиям, предъявляемым к первой квалификационной категории"</t>
  </si>
  <si>
    <t>1)ст. 6, п. 1; 2)в целом</t>
  </si>
  <si>
    <t>1)21.10.2005, 
не установлен; 2)17.02.2015, не установлен</t>
  </si>
  <si>
    <t xml:space="preserve">1)Закон Нижегородской области от 07.09.2007 N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2) Постановление администрации Княгининского района от 24.02.2015 №467 "Об утверждении Порядка расходования и использования субвенции, предоставляемой бюджету княгининского района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
</t>
  </si>
  <si>
    <t>1)полностью; 2) в целом; 3)пункт 1.1.</t>
  </si>
  <si>
    <t>1)07.09.2007; 2))24.02.2015, не установлен 3) 23.04.2010, не установлен</t>
  </si>
  <si>
    <t xml:space="preserve"> 1) Постановление Правительства Нижегородской области от 31.12.2013 № 1033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2)Постановление администрации Княгининского района Нижегородской области от 14.03.2014 №468 "О субвенциях, выделяемых бюджету Княгининского района,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</si>
  <si>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 xml:space="preserve">                                                                                                                                                                                                                                                                                                                                                                                                                                                                                                                                                                                                                                                                                                                                                                                                                                                            1) полностью; 2)полностью                                                                                                                                                                                                                                                                                                                                                                                                                                                                                                                                                                                                                                                                                                                                                                                                                                                                                                                                                                                                                                                                                                                                                                                                                                                                                                                                                                                                                                                                                                                                                                                                                                                                                                                                                                                                                                                                                                                                                                                                                                                                                                                                                                                                                                                                                                                                                                                                                                                                                                                                                                                                                                                                                                                                                                                                                                                                                                                                                                                                                                                                                                                                                                                                                                                                                                                                                                                                                                                                                                                                                                                                                                                                                                                </t>
  </si>
  <si>
    <t>1) 24.01.2014, не установлен; 2)01.01.2014,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</si>
  <si>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</si>
  <si>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полностью
2) полностью; 3) в целом</t>
  </si>
  <si>
    <t>1) 01.01.2010, не установлен
2) 01.01.2010, не установлен; 3)  23.04.2010, не установлен</t>
  </si>
  <si>
    <t>1)Закон Нижегородской области от 10 декабря 2004 года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2) Закон Нижегородской области от 30 сентября 2008 года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ПОСТАНОВЛЕНИЕ Правительства Нижегородской области
от 17 июня 2011 г.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
4)Постановление администрации Княгининского района от 14.03.2014 №469 "О субвенциях на обеспечение детей-сирот и детей, оставшихся без попечения родителей, лиц из числа дете-сирот и дете, оставшихся без попечения родителей, жилыми помещениями" 5)Решение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</si>
  <si>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в целом; 2) в целом; 3) в целом; 4)полностью 5) пункт 1.1.</t>
  </si>
  <si>
    <t>1)22.12.2004, не установлен                                                                                                          2)17.10.2008, не установлен       3) 29.07.2011 не установлен; 4)14.03.2014 5) 23.04.2010, не установлен</t>
  </si>
  <si>
    <t xml:space="preserve">1)Постановление Правительства Нижегородской области от 23.12.2004 № 288 "О порядке назначения и выплаты ежемесячного пособия на опекаемых детей, ежемесячной денежной выплаты и предоставления мер социальной поддержки по оплате жилья и коммунальных услуг детям-сиротам и детям, оставшимся без попечения родителей, а также лицам из числа детей-сирот и детей, оставшихся без попечения родителей, и порядке обеспечения проездом детей-сирот, детей, оставшихся без попечения родителей, и лиц из числа детей-сирот и детей, оставшихся без попечения родителей, обучающихся в образовательных учреждениях Нижегородской области"; 2)Постановление администрации Княгининского района от 14.03.2014 №469 "О субвенциях на обеспечение детей-сирот и детей, оставшихся без попечения родителей, лиц из числа дете-сирот и детей, оставшихся без попечения родителей, жилыми помещениями"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
</t>
  </si>
  <si>
    <t>1)полностью; 2)полностью 3) пункт 1.1.</t>
  </si>
  <si>
    <t>1)23.12.2004, не установлено; 2)14.03.2014 3) 23.04.2010, не установлен</t>
  </si>
  <si>
    <t>1)Постановление  Правительства   Нижегородской области от 15.12.2015г. № 834 "Об утверждении положения о порядке предоставления субсидийна возмещение части затрат на приобретение оборудования и техники"; 2)Постановление администрации Княгининского муниципального района Нижегородской области от 10.06.2020 №547 "Об утверждении Порядка предоставления субсидий  на возмещение части затрат на приобретение оборудования и техники"</t>
  </si>
  <si>
    <t>1)в целом; 2)в целом</t>
  </si>
  <si>
    <t>1)01.01.2017г., " не установлена"; 2)10.06.2020, не установлен</t>
  </si>
  <si>
    <t>1) Закон Нижегородской области от 06.12.2011 № 177-З "О межбюджетных отношениях в Нижегородской области"                 2) Постановление Правительства Нижегородской области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</si>
  <si>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ст. 11                                                                                                          2) полностью; 3) в целом</t>
  </si>
  <si>
    <t>1) 06.12.2011,
не установлен 2) 31.05.2005,
не установлен; 3)23.04.2010, не установлен</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</si>
  <si>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4))Постановление администрации Княгининского муниципального района Нижегородской области от 02.12.2019 № 974 "Об утверждении муниципальной программы Княгининского муниципального района Нижегородской области "Развиие культуры, молодежной политики и туризма Княгининского муниципального района Нижегородской области" на 2020-2024 годы</t>
  </si>
  <si>
    <t>1) ст. 6, п. 1
2) ст. 2, ст. 3                                                                                                                                                                                                                                                                                                                                                                                                                                                                                                                                                                                                           3) полностью; 4) в целом</t>
  </si>
  <si>
    <t>1) 21.10.2005, не установлен
2)10.12.2004, 31.12.2013
3) 01.01.2014, не установлен; 4) 01.01.2020-31.12.2024</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</si>
  <si>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4) Постановление администрации Княгининского муниципального района Нижегородской области от 21.01.2021 №61 "О внесении изменений в Порядок обеспечения двухразовым бесплатным питанием за счет субвенций из бюджета Нижегородской области учащихся с ограниченными возможностями здоровья, обучающихся в муниципальных общеобразовательных организациях, осуществляющих образоваьельную деяьтельность по адаптированным общеобразовательным программа от 29.01.2018 №109"</t>
  </si>
  <si>
    <t xml:space="preserve">1) ст. 6, п. 1; 2) ст. 2, ст. 3;                                                                                                                                                                                                                                                                                                                                                                                                                                                                                                                                                                                                      3) полностью; 4) пункт 1 </t>
  </si>
  <si>
    <t>1) 21.10.2005, не установлен
2)10.12.2004, 31.12.2013
3) 01.01.2014, не установлен; 4)21.01.2021, не установлен</t>
  </si>
  <si>
    <t xml:space="preserve"> 1)Закона Нижегородской области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2)Постановление администрации Княгининского района от 30.06.2017 №746 "О субвенции, выделенной из областного бюджета, бюджету Княгининского района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граждан"2)Решение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</si>
  <si>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1)06.04.2017; 2)30.06.2017, не установлен 3) 23.04.2010, не установлен</t>
  </si>
  <si>
    <t>1) Закона Нижегородской области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 2)Решение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</si>
  <si>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1)полностью; 2)в целом</t>
  </si>
  <si>
    <t>1)18.08.2011 не установлен;2)23.04.2010, не установлен</t>
  </si>
  <si>
    <t xml:space="preserve">1)Постановление  Правительства   Нижегородской области от 13.03.2020г. № 207 "О  государственной поддержке сельскохозяйственного производства  по отдельным подотраслям растениеводства и животноводства"; 2) Постановление администрации Княгининского муниципального района Нижегородской области от 23.04.2020 №414 "Об утверждении Порядка предоставления субсидий из бюджета Княгининского муниципального района на возмещение части затрат на поддержку элитного семеноводства, источником финансового обеспечения которых явяются субвенции местным бюджетам для осуществления переданных государственных полномочий по возмещению части затрат на поддержку элитного семеноводства" </t>
  </si>
  <si>
    <t>1) в целом 2) в целом</t>
  </si>
  <si>
    <t>1)13.03.2020 "Не установлена"; 2) 01.01.2020, не установлен</t>
  </si>
  <si>
    <t>1)Постановление  Правительства   Нижегородской области от 13.03.2020г. № 207 "О  государственной поддержке сельскохозяйственного производства  по отдельным подотраслям растениеводства и животноводства";2) Постановление администрации Княгининского муниципального района Нижегородской области от 27.04.2020 №430 "Об утверждении Порядка предоставления субсидий из бюджета Княгининского муниципального района на возмещение части затрат на поддержку племенного животноводства, источником финансового обеспечения которых являются субвенции местным бюджетам бюджетам для осуществления переданных государственных полномочий по возмещению части затрат на поддержку племенного животноводства"</t>
  </si>
  <si>
    <t>1)в целом; 2) в целом</t>
  </si>
  <si>
    <t>1)13.03.2020 "Не установлена";2))01.01.2020, не установлен</t>
  </si>
  <si>
    <t>1)Постановление Правительства Нижегородской области от 03.07.2020г. № 538 " об утверждении Положения о порядке и условиях использования субвенций из областного бюджета бюджетам муниципальных районов и городских округов  Нижегородской области неа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2)Постановление администрации Княгининского муниципального района Нижегородской области от 17.12.2020 №1080 "О реализации отдельных государственных полночий по организации мероприятий по осуществлению деятельности по обращению с животными без владельцев, а также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</si>
  <si>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1)в целом; 2) в целом; 3)пункт 1.1.</t>
  </si>
  <si>
    <t>1)03.07.2020г., " не установлена";1=2) 17.12.2020. не установлен 2) 23.04.2010, не установлен</t>
  </si>
  <si>
    <t>1)Постановление  Правительства   Нижегородской области от 18.03.2020г. № 218 "О государственной поддержке на стимулирование развития приоритетных подотраслей агропромышленного комплекса и развитие малых форм хозяйствования"; 2) Постановление администрации Княгининского района Нижегородской области от 18.07.2018 №599 "Об утверждении порядка предоставления субсидий на возмещение части затрат сельскохозяйственных товаропроизводителей на 1 кг реализованного и (или) отгруженного на собственную переработку молока"</t>
  </si>
  <si>
    <t>1)в целом ; 2) в целом</t>
  </si>
  <si>
    <t>1)18.03.2020 "Не установлена"; 2) 01.01.2018, не установлен</t>
  </si>
  <si>
    <t>1)Постановление  Правительства   Нижегородской области от 13.03.2020г. № 207 "О  государственной поддержке сельскохозяйственного производства  по отдельным подотраслям растениеводства и животноводства";2) Постановление администрации Княгининского муниципального района Нижегородской области от 23.07.2020 №656 "Об утверждении Порядка предоставления субсидий из местного бюджета на возмещение части затрат на поддержку собственного производства молока,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части затрат на поддержку собственного производства молока"</t>
  </si>
  <si>
    <t>1)13.03.2020г., " не установлена";2) 01.01.2020, не установлен</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</si>
  <si>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4)Решение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</si>
  <si>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ст. 6, п. 1
2) ст. 2, ст. 3;                                                                                                                                                                                                                                                                                                                                                                                                                                                                                                                                                                                                    3) полностью; 4) в целом</t>
  </si>
  <si>
    <t>1) 21.10.2005, не установлен
2)10.12.2004, 31.12.2013
3) 01.01.2014, не установлен; 4)23.04.2010, не установлен</t>
  </si>
  <si>
    <t>1)Постановление  Правительства   Нижегородской области от 21.06.2021 № 513 "Об утверждении порядкапредоставления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 2) Постановление администрации Княгининского муниципального района Нижегородской области от 26.11.2021 №872 "Об утверждении Порядка предоставления из бюджета Княгининского муниципального района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производителмя зерновых культур части затрат на производство и реализацию зерновых культур"</t>
  </si>
  <si>
    <t>1) 03.11.2021, не установлен; 2)26.11.2021, не установлен</t>
  </si>
  <si>
    <t>1)Закон Нижегородской области от 06.12.2011 № 177-З " О межбюджетных отношениях в Нижегородской области"; 2)Решение Земского собрания Княгининского района от 21.10.2011 №129 "О межбюджетных отношениях в Княгининском районе"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</si>
  <si>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1)ст.15;2)статья 7; 3) подпункт 32  пункта 3.2. части 3 Положения</t>
  </si>
  <si>
    <t>1)01.01.2012, не установлен; 2)09.11.2011, не установлен 3) 23.04.2010, не установлен</t>
  </si>
  <si>
    <t>1)Постановление Правительства Нижегородской области от 08.12.2021г. № 1112 " Об утверждении Порядка предоставления из местного бюджета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2) Постановление администрации Кн\ягининского муниципального района Нижегородской области от 29.12.2021 № 1004 "Об утверждении Порядка предоставления из бюджета Княгининского муниципального района субсидии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осуществляющим разведение и (или) содержание молочного крупного рогатого скота, чсати затрат на приобретение кормов для молочного крупного рогатого скота"</t>
  </si>
  <si>
    <t>1)08.12.2021г., " не установлена"; 2)29.12.2021, не утсановлен</t>
  </si>
  <si>
    <t>Постановление администрации Княгининского района от 10.12.2010 №1107 "О субвенциях сельским поселениям Княгининского района на осуществление полномочий по первичному воинскому учету на территориях, где отсутствуют военные комиссариаты"</t>
  </si>
  <si>
    <t>1)Постановление администрации Княгининского муниципального района Нижегородской области от 10.12.2019 №1003 "Об иных межбюджетных трансфертах из фонда на поддержку территорий"; 2)Постановление администрации Княгининского муниципального района Нижегородской области от 27.10.2021 №795 "О субсидиях за счет средств областного бюджета, выделенных бюджету Княгининского муниципального района на софинансирование дополнительных расходов муниципальных образований, связанных с реализациоей проектов инициативного бюджетирования"; 3) Постановление администрации Княгининского муниципального района Нижегородской области от 10.06.2021 № 425 "О субсидиях, выделенных из областного бюджета бюджету Княгининского муниципального района Нижегородской области на реализацию проекта инициативного бюджетирования "Вам решать"</t>
  </si>
  <si>
    <t>1) в целом; 2) в целом; 3) в целом</t>
  </si>
  <si>
    <t>1)10.12.2019, не установлен; 2) 27.10.2021, не установлен; 3) 10.06.2021, не установлен</t>
  </si>
  <si>
    <t>Решение Земского собрания Княгининского района Нижегородской области от 07.12.2021 №45 "Об утверждении Порядка предоставления и распределения из районного бюджета  субсидий бюджетам  поселений Княгининского муниципального района Нижегородской области на реализацию социально значимых мероприятий в рамках решения вопросов местного значения"</t>
  </si>
  <si>
    <t>07.12.2021,не установлен</t>
  </si>
  <si>
    <t>Постановление администрации Княгининского муниципального района Нижегородской области от 11.11 2020 года № 967 " О внесении изменений в муниципальную программу Княгининского муниципального района Нижегородской области "Развитие агропромышленного комплекса Княгининского муниципального района Нижегородской области" на 2020-2024 годы, утвержденную постановлением администрации Княгининского муниципального района от 02.12.2019 г. № 972"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</si>
</sst>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FC19]d\ mmmm\ yyyy\ &quot;г.&quot;"/>
    <numFmt numFmtId="180" formatCode="0.0"/>
    <numFmt numFmtId="181" formatCode="000000"/>
  </numFmts>
  <fonts count="52">
    <font>
      <sz val="10"/>
      <name val="Arial Cyr"/>
      <family val="0"/>
    </font>
    <font>
      <sz val="11"/>
      <color indexed="8"/>
      <name val="Calibri"/>
      <family val="2"/>
    </font>
    <font>
      <sz val="8"/>
      <name val="Arial"/>
      <family val="2"/>
    </font>
    <font>
      <b/>
      <sz val="12"/>
      <name val="Times New Roman"/>
      <family val="1"/>
    </font>
    <font>
      <sz val="10"/>
      <name val="Arial"/>
      <family val="2"/>
    </font>
    <font>
      <b/>
      <sz val="12"/>
      <name val="Arial"/>
      <family val="2"/>
    </font>
    <font>
      <sz val="9"/>
      <name val="Times New Roman"/>
      <family val="1"/>
    </font>
    <font>
      <b/>
      <sz val="9"/>
      <name val="Times New Roman"/>
      <family val="1"/>
    </font>
    <font>
      <sz val="10"/>
      <name val="Helv"/>
      <family val="0"/>
    </font>
    <font>
      <sz val="8"/>
      <name val="Times New Roman"/>
      <family val="1"/>
    </font>
    <font>
      <sz val="9"/>
      <color indexed="8"/>
      <name val="Times New Roman"/>
      <family val="1"/>
    </font>
    <font>
      <sz val="10"/>
      <name val="Times New Roman"/>
      <family val="1"/>
    </font>
    <font>
      <b/>
      <sz val="8"/>
      <name val="Arial"/>
      <family val="2"/>
    </font>
    <font>
      <b/>
      <sz val="8"/>
      <name val="Times New Roman"/>
      <family val="1"/>
    </font>
    <font>
      <b/>
      <sz val="10"/>
      <name val="Arial"/>
      <family val="2"/>
    </font>
    <font>
      <b/>
      <sz val="10"/>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4" fillId="0" borderId="0">
      <alignment/>
      <protection/>
    </xf>
    <xf numFmtId="0" fontId="4"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34" fillId="0" borderId="0" applyFont="0" applyFill="0" applyBorder="0" applyAlignment="0" applyProtection="0"/>
    <xf numFmtId="168" fontId="34"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34" fillId="31" borderId="8" applyNumberFormat="0" applyFont="0" applyAlignment="0" applyProtection="0"/>
    <xf numFmtId="9" fontId="34" fillId="0" borderId="0" applyFont="0" applyFill="0" applyBorder="0" applyAlignment="0" applyProtection="0"/>
    <xf numFmtId="0" fontId="48" fillId="0" borderId="9" applyNumberFormat="0" applyFill="0" applyAlignment="0" applyProtection="0"/>
    <xf numFmtId="0" fontId="8" fillId="0" borderId="0">
      <alignment/>
      <protection/>
    </xf>
    <xf numFmtId="0" fontId="49" fillId="0" borderId="0" applyNumberFormat="0" applyFill="0" applyBorder="0" applyAlignment="0" applyProtection="0"/>
    <xf numFmtId="171" fontId="34" fillId="0" borderId="0" applyFont="0" applyFill="0" applyBorder="0" applyAlignment="0" applyProtection="0"/>
    <xf numFmtId="169" fontId="34" fillId="0" borderId="0" applyFont="0" applyFill="0" applyBorder="0" applyAlignment="0" applyProtection="0"/>
    <xf numFmtId="0" fontId="50" fillId="32" borderId="0" applyNumberFormat="0" applyBorder="0" applyAlignment="0" applyProtection="0"/>
  </cellStyleXfs>
  <cellXfs count="196">
    <xf numFmtId="0" fontId="0" fillId="0" borderId="0" xfId="0" applyAlignment="1">
      <alignment/>
    </xf>
    <xf numFmtId="0" fontId="2" fillId="0" borderId="0" xfId="35" applyFont="1" applyFill="1" applyAlignment="1">
      <alignment vertical="center"/>
      <protection/>
    </xf>
    <xf numFmtId="172" fontId="6" fillId="33" borderId="10" xfId="0" applyNumberFormat="1" applyFont="1" applyFill="1" applyBorder="1" applyAlignment="1" applyProtection="1">
      <alignment horizontal="center" vertical="center" wrapText="1" shrinkToFit="1"/>
      <protection locked="0"/>
    </xf>
    <xf numFmtId="0" fontId="4" fillId="0" borderId="0" xfId="35" applyFont="1" applyFill="1" applyAlignment="1">
      <alignment vertical="center"/>
      <protection/>
    </xf>
    <xf numFmtId="0" fontId="11" fillId="0" borderId="10" xfId="0" applyFont="1" applyBorder="1" applyAlignment="1">
      <alignment vertical="center" wrapText="1"/>
    </xf>
    <xf numFmtId="49" fontId="11" fillId="0" borderId="10" xfId="0" applyNumberFormat="1" applyFont="1" applyBorder="1" applyAlignment="1">
      <alignment/>
    </xf>
    <xf numFmtId="0" fontId="15" fillId="0" borderId="10" xfId="0" applyFont="1" applyBorder="1" applyAlignment="1">
      <alignment horizontal="center"/>
    </xf>
    <xf numFmtId="0" fontId="11" fillId="0" borderId="10" xfId="0" applyFont="1" applyBorder="1" applyAlignment="1">
      <alignment/>
    </xf>
    <xf numFmtId="0" fontId="11" fillId="0" borderId="0" xfId="0" applyFont="1" applyAlignment="1">
      <alignment/>
    </xf>
    <xf numFmtId="180" fontId="15" fillId="0" borderId="10" xfId="0" applyNumberFormat="1" applyFont="1" applyBorder="1" applyAlignment="1">
      <alignment/>
    </xf>
    <xf numFmtId="180" fontId="11" fillId="0" borderId="10" xfId="0" applyNumberFormat="1" applyFont="1" applyBorder="1" applyAlignment="1">
      <alignment/>
    </xf>
    <xf numFmtId="49" fontId="15" fillId="0" borderId="10" xfId="0" applyNumberFormat="1" applyFont="1" applyBorder="1" applyAlignment="1">
      <alignment/>
    </xf>
    <xf numFmtId="180" fontId="11" fillId="0" borderId="0" xfId="0" applyNumberFormat="1" applyFont="1" applyAlignment="1">
      <alignment/>
    </xf>
    <xf numFmtId="0" fontId="15" fillId="0" borderId="10" xfId="0" applyFont="1" applyBorder="1" applyAlignment="1">
      <alignment/>
    </xf>
    <xf numFmtId="49" fontId="15" fillId="0" borderId="10" xfId="0" applyNumberFormat="1" applyFont="1" applyBorder="1" applyAlignment="1">
      <alignment wrapText="1"/>
    </xf>
    <xf numFmtId="0" fontId="15" fillId="0" borderId="10" xfId="0" applyFont="1" applyBorder="1" applyAlignment="1">
      <alignment wrapText="1"/>
    </xf>
    <xf numFmtId="49" fontId="11" fillId="0" borderId="0" xfId="0" applyNumberFormat="1" applyFont="1" applyAlignment="1">
      <alignment/>
    </xf>
    <xf numFmtId="180" fontId="15" fillId="0" borderId="10" xfId="0" applyNumberFormat="1" applyFont="1" applyBorder="1" applyAlignment="1">
      <alignment horizontal="center"/>
    </xf>
    <xf numFmtId="49" fontId="15" fillId="0" borderId="10" xfId="0" applyNumberFormat="1" applyFont="1" applyBorder="1" applyAlignment="1">
      <alignment horizontal="center"/>
    </xf>
    <xf numFmtId="4" fontId="15" fillId="0" borderId="10" xfId="0" applyNumberFormat="1" applyFont="1" applyBorder="1" applyAlignment="1">
      <alignment/>
    </xf>
    <xf numFmtId="49" fontId="15" fillId="0" borderId="10" xfId="0" applyNumberFormat="1" applyFont="1" applyBorder="1" applyAlignment="1">
      <alignment horizontal="center" vertical="center" wrapText="1"/>
    </xf>
    <xf numFmtId="4" fontId="15" fillId="0" borderId="10" xfId="0" applyNumberFormat="1" applyFont="1" applyBorder="1" applyAlignment="1">
      <alignment horizontal="center" vertical="center" wrapText="1"/>
    </xf>
    <xf numFmtId="4" fontId="15" fillId="0" borderId="10" xfId="0" applyNumberFormat="1" applyFont="1" applyBorder="1" applyAlignment="1">
      <alignment horizontal="center" vertical="center"/>
    </xf>
    <xf numFmtId="4" fontId="11" fillId="0" borderId="10" xfId="0" applyNumberFormat="1" applyFont="1" applyBorder="1" applyAlignment="1">
      <alignment horizontal="center" vertical="center"/>
    </xf>
    <xf numFmtId="180"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5" fillId="0" borderId="10" xfId="0" applyNumberFormat="1" applyFont="1" applyBorder="1" applyAlignment="1">
      <alignment horizontal="center" vertical="center"/>
    </xf>
    <xf numFmtId="16" fontId="11" fillId="0" borderId="0" xfId="0" applyNumberFormat="1" applyFont="1" applyAlignment="1">
      <alignment/>
    </xf>
    <xf numFmtId="4" fontId="15" fillId="0" borderId="10" xfId="0" applyNumberFormat="1" applyFont="1" applyFill="1" applyBorder="1" applyAlignment="1">
      <alignment horizontal="center" vertical="center"/>
    </xf>
    <xf numFmtId="180"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4" fontId="15" fillId="0" borderId="10" xfId="0" applyNumberFormat="1" applyFont="1" applyBorder="1" applyAlignment="1">
      <alignment horizontal="center"/>
    </xf>
    <xf numFmtId="49" fontId="15" fillId="3" borderId="10" xfId="0" applyNumberFormat="1" applyFont="1" applyFill="1" applyBorder="1" applyAlignment="1">
      <alignment horizontal="center" vertical="center" wrapText="1"/>
    </xf>
    <xf numFmtId="4" fontId="15" fillId="3" borderId="10" xfId="0" applyNumberFormat="1" applyFont="1" applyFill="1" applyBorder="1" applyAlignment="1">
      <alignment horizontal="center" vertical="center" wrapText="1"/>
    </xf>
    <xf numFmtId="4" fontId="15" fillId="3" borderId="10" xfId="0" applyNumberFormat="1" applyFont="1" applyFill="1" applyBorder="1" applyAlignment="1">
      <alignment horizontal="center" vertical="center"/>
    </xf>
    <xf numFmtId="4" fontId="11" fillId="3" borderId="10" xfId="0" applyNumberFormat="1" applyFont="1" applyFill="1" applyBorder="1" applyAlignment="1">
      <alignment horizontal="center" vertical="center"/>
    </xf>
    <xf numFmtId="180" fontId="11" fillId="3" borderId="10" xfId="0" applyNumberFormat="1" applyFont="1" applyFill="1" applyBorder="1" applyAlignment="1">
      <alignment horizontal="center" vertical="center"/>
    </xf>
    <xf numFmtId="0" fontId="11" fillId="3" borderId="10" xfId="0" applyFont="1" applyFill="1" applyBorder="1" applyAlignment="1">
      <alignment vertical="center" wrapText="1"/>
    </xf>
    <xf numFmtId="0" fontId="11" fillId="3" borderId="0" xfId="0" applyFont="1" applyFill="1" applyAlignment="1">
      <alignment/>
    </xf>
    <xf numFmtId="172" fontId="6" fillId="33" borderId="10" xfId="35" applyNumberFormat="1" applyFont="1" applyFill="1" applyBorder="1" applyAlignment="1">
      <alignment horizontal="center" vertical="center"/>
      <protection/>
    </xf>
    <xf numFmtId="0" fontId="9" fillId="33" borderId="10" xfId="0" applyFont="1" applyFill="1" applyBorder="1" applyAlignment="1">
      <alignment vertical="center" wrapText="1"/>
    </xf>
    <xf numFmtId="0" fontId="2" fillId="33" borderId="0" xfId="0" applyNumberFormat="1" applyFont="1" applyFill="1" applyBorder="1" applyAlignment="1" applyProtection="1">
      <alignment vertical="center"/>
      <protection/>
    </xf>
    <xf numFmtId="172" fontId="4" fillId="33" borderId="0" xfId="35" applyNumberFormat="1" applyFont="1" applyFill="1" applyAlignment="1">
      <alignment vertical="center"/>
      <protection/>
    </xf>
    <xf numFmtId="0" fontId="4" fillId="33" borderId="0" xfId="35" applyFont="1" applyFill="1" applyAlignment="1">
      <alignment vertical="center"/>
      <protection/>
    </xf>
    <xf numFmtId="2" fontId="7" fillId="33" borderId="10" xfId="0" applyNumberFormat="1" applyFont="1" applyFill="1" applyBorder="1" applyAlignment="1" applyProtection="1">
      <alignment horizontal="center" vertical="center" wrapText="1" shrinkToFit="1"/>
      <protection locked="0"/>
    </xf>
    <xf numFmtId="172" fontId="2" fillId="33" borderId="0" xfId="0" applyNumberFormat="1" applyFont="1" applyFill="1" applyBorder="1" applyAlignment="1" applyProtection="1">
      <alignment vertical="center"/>
      <protection/>
    </xf>
    <xf numFmtId="172" fontId="6" fillId="33" borderId="11" xfId="0" applyNumberFormat="1" applyFont="1" applyFill="1" applyBorder="1" applyAlignment="1" applyProtection="1">
      <alignment horizontal="center" vertical="center" wrapText="1" shrinkToFit="1"/>
      <protection locked="0"/>
    </xf>
    <xf numFmtId="0" fontId="9" fillId="33" borderId="10" xfId="0" applyFont="1" applyFill="1" applyBorder="1" applyAlignment="1">
      <alignment horizontal="center" vertical="center"/>
    </xf>
    <xf numFmtId="49" fontId="9" fillId="33" borderId="10" xfId="0" applyNumberFormat="1" applyFont="1" applyFill="1" applyBorder="1" applyAlignment="1">
      <alignment horizontal="center"/>
    </xf>
    <xf numFmtId="0" fontId="12" fillId="33" borderId="0" xfId="0" applyNumberFormat="1" applyFont="1" applyFill="1" applyBorder="1" applyAlignment="1" applyProtection="1">
      <alignment vertical="center" wrapText="1"/>
      <protection/>
    </xf>
    <xf numFmtId="0" fontId="5" fillId="33" borderId="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vertical="center" wrapText="1"/>
      <protection/>
    </xf>
    <xf numFmtId="2" fontId="9" fillId="33" borderId="10" xfId="0" applyNumberFormat="1" applyFont="1" applyFill="1" applyBorder="1" applyAlignment="1">
      <alignment horizontal="center"/>
    </xf>
    <xf numFmtId="0" fontId="13" fillId="33" borderId="10" xfId="0" applyFont="1" applyFill="1" applyBorder="1" applyAlignment="1">
      <alignment vertical="center" wrapText="1"/>
    </xf>
    <xf numFmtId="0" fontId="6" fillId="33" borderId="10" xfId="0" applyNumberFormat="1" applyFont="1" applyFill="1" applyBorder="1" applyAlignment="1" applyProtection="1">
      <alignment horizontal="center" vertical="center" wrapText="1"/>
      <protection/>
    </xf>
    <xf numFmtId="0" fontId="14" fillId="33" borderId="0" xfId="0" applyNumberFormat="1"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center" vertical="center" wrapText="1"/>
      <protection/>
    </xf>
    <xf numFmtId="0" fontId="9" fillId="33" borderId="0" xfId="0" applyFont="1" applyFill="1" applyAlignment="1">
      <alignment vertical="top"/>
    </xf>
    <xf numFmtId="49" fontId="6" fillId="33" borderId="10" xfId="0" applyNumberFormat="1" applyFont="1" applyFill="1" applyBorder="1" applyAlignment="1" applyProtection="1">
      <alignment horizontal="center" vertical="center" wrapText="1"/>
      <protection/>
    </xf>
    <xf numFmtId="0" fontId="11" fillId="33" borderId="10" xfId="0" applyNumberFormat="1" applyFont="1" applyFill="1" applyBorder="1" applyAlignment="1" applyProtection="1">
      <alignment horizontal="center" vertical="center" wrapText="1"/>
      <protection/>
    </xf>
    <xf numFmtId="0" fontId="9" fillId="33" borderId="12" xfId="0" applyFont="1" applyFill="1" applyBorder="1" applyAlignment="1">
      <alignment vertical="top" wrapText="1"/>
    </xf>
    <xf numFmtId="0" fontId="6" fillId="33" borderId="10" xfId="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0" fontId="11" fillId="33" borderId="10" xfId="0" applyFont="1" applyFill="1" applyBorder="1" applyAlignment="1">
      <alignment horizontal="justify" vertical="center" wrapText="1"/>
    </xf>
    <xf numFmtId="0" fontId="6" fillId="33" borderId="10" xfId="0" applyNumberFormat="1" applyFont="1" applyFill="1" applyBorder="1" applyAlignment="1" applyProtection="1">
      <alignment horizontal="left" vertical="top" wrapText="1" shrinkToFit="1"/>
      <protection locked="0"/>
    </xf>
    <xf numFmtId="0" fontId="10" fillId="33" borderId="10" xfId="0" applyNumberFormat="1" applyFont="1" applyFill="1" applyBorder="1" applyAlignment="1" applyProtection="1">
      <alignment horizontal="left" vertical="top" wrapText="1" shrinkToFit="1"/>
      <protection locked="0"/>
    </xf>
    <xf numFmtId="49" fontId="6" fillId="33" borderId="10" xfId="60" applyNumberFormat="1" applyFont="1" applyFill="1" applyBorder="1" applyAlignment="1" applyProtection="1">
      <alignment horizontal="center" vertical="center" wrapText="1" shrinkToFit="1"/>
      <protection locked="0"/>
    </xf>
    <xf numFmtId="49" fontId="11" fillId="33" borderId="10" xfId="0" applyNumberFormat="1" applyFont="1" applyFill="1" applyBorder="1" applyAlignment="1">
      <alignment horizontal="justify" vertical="center" wrapText="1"/>
    </xf>
    <xf numFmtId="0" fontId="6" fillId="33" borderId="10" xfId="0" applyNumberFormat="1" applyFont="1" applyFill="1" applyBorder="1" applyAlignment="1" applyProtection="1">
      <alignment horizontal="left" vertical="center" wrapText="1" shrinkToFit="1"/>
      <protection locked="0"/>
    </xf>
    <xf numFmtId="14" fontId="6" fillId="33" borderId="10" xfId="0" applyNumberFormat="1" applyFont="1" applyFill="1" applyBorder="1" applyAlignment="1" applyProtection="1">
      <alignment horizontal="center" vertical="center" wrapText="1" shrinkToFit="1"/>
      <protection locked="0"/>
    </xf>
    <xf numFmtId="0" fontId="6" fillId="33" borderId="10" xfId="35" applyFont="1" applyFill="1" applyBorder="1" applyAlignment="1">
      <alignment horizontal="center" vertical="center" wrapText="1"/>
      <protection/>
    </xf>
    <xf numFmtId="49" fontId="6" fillId="33" borderId="10" xfId="35" applyNumberFormat="1" applyFont="1" applyFill="1" applyBorder="1" applyAlignment="1">
      <alignment horizontal="center" vertical="center" wrapText="1"/>
      <protection/>
    </xf>
    <xf numFmtId="49" fontId="10" fillId="33" borderId="10" xfId="0" applyNumberFormat="1" applyFont="1" applyFill="1" applyBorder="1" applyAlignment="1" applyProtection="1">
      <alignment horizontal="center" vertical="center" wrapText="1" shrinkToFit="1"/>
      <protection locked="0"/>
    </xf>
    <xf numFmtId="49" fontId="10" fillId="33" borderId="10" xfId="0" applyNumberFormat="1" applyFont="1" applyFill="1" applyBorder="1" applyAlignment="1" applyProtection="1">
      <alignment horizontal="left" vertical="top" wrapText="1" shrinkToFit="1"/>
      <protection locked="0"/>
    </xf>
    <xf numFmtId="0" fontId="15" fillId="33" borderId="10" xfId="0" applyFont="1" applyFill="1" applyBorder="1" applyAlignment="1">
      <alignment horizontal="justify" vertical="center" wrapText="1"/>
    </xf>
    <xf numFmtId="0" fontId="6" fillId="33" borderId="10" xfId="60" applyNumberFormat="1" applyFont="1" applyFill="1" applyBorder="1" applyAlignment="1" applyProtection="1">
      <alignment horizontal="center" vertical="center" wrapText="1" shrinkToFit="1"/>
      <protection locked="0"/>
    </xf>
    <xf numFmtId="0" fontId="11" fillId="33" borderId="10" xfId="0" applyFont="1" applyFill="1" applyBorder="1" applyAlignment="1">
      <alignment vertical="center" wrapText="1"/>
    </xf>
    <xf numFmtId="0" fontId="6" fillId="33" borderId="10" xfId="0" applyNumberFormat="1" applyFont="1" applyFill="1" applyBorder="1" applyAlignment="1" applyProtection="1">
      <alignment horizontal="left" vertical="top" wrapText="1" readingOrder="1"/>
      <protection locked="0"/>
    </xf>
    <xf numFmtId="0" fontId="6" fillId="33" borderId="10" xfId="0" applyNumberFormat="1" applyFont="1" applyFill="1" applyBorder="1" applyAlignment="1" applyProtection="1">
      <alignment horizontal="left" vertical="top" wrapText="1" shrinkToFit="1" readingOrder="1"/>
      <protection locked="0"/>
    </xf>
    <xf numFmtId="14" fontId="6" fillId="33" borderId="10" xfId="0" applyNumberFormat="1" applyFont="1" applyFill="1" applyBorder="1" applyAlignment="1" applyProtection="1">
      <alignment horizontal="left" vertical="top" wrapText="1" shrinkToFit="1" readingOrder="1"/>
      <protection locked="0"/>
    </xf>
    <xf numFmtId="0" fontId="15" fillId="33" borderId="12" xfId="0" applyFont="1" applyFill="1" applyBorder="1" applyAlignment="1">
      <alignment vertical="top" wrapText="1"/>
    </xf>
    <xf numFmtId="49" fontId="51" fillId="33" borderId="10" xfId="0" applyNumberFormat="1" applyFont="1" applyFill="1" applyBorder="1" applyAlignment="1">
      <alignment horizontal="justify" vertical="center" wrapText="1"/>
    </xf>
    <xf numFmtId="0" fontId="15" fillId="33" borderId="10" xfId="0" applyFont="1" applyFill="1" applyBorder="1" applyAlignment="1">
      <alignment vertical="center" wrapText="1"/>
    </xf>
    <xf numFmtId="0" fontId="4" fillId="33" borderId="10" xfId="35" applyFont="1" applyFill="1" applyBorder="1" applyAlignment="1">
      <alignment horizontal="center" vertical="center"/>
      <protection/>
    </xf>
    <xf numFmtId="49" fontId="6" fillId="33" borderId="10" xfId="35" applyNumberFormat="1" applyFont="1" applyFill="1" applyBorder="1" applyAlignment="1">
      <alignment horizontal="center" vertical="center"/>
      <protection/>
    </xf>
    <xf numFmtId="0" fontId="4" fillId="33" borderId="0" xfId="35" applyFont="1" applyFill="1" applyAlignment="1" applyProtection="1">
      <alignment vertical="center" wrapText="1"/>
      <protection locked="0"/>
    </xf>
    <xf numFmtId="0" fontId="4" fillId="33" borderId="0" xfId="35" applyFont="1" applyFill="1" applyAlignment="1" applyProtection="1">
      <alignment horizontal="center" vertical="center"/>
      <protection locked="0"/>
    </xf>
    <xf numFmtId="49" fontId="4" fillId="33" borderId="0" xfId="35" applyNumberFormat="1" applyFont="1" applyFill="1" applyAlignment="1" applyProtection="1">
      <alignment horizontal="center" vertical="center"/>
      <protection locked="0"/>
    </xf>
    <xf numFmtId="0" fontId="4" fillId="33" borderId="0" xfId="35" applyFont="1" applyFill="1" applyAlignment="1">
      <alignment vertical="center" wrapText="1"/>
      <protection/>
    </xf>
    <xf numFmtId="0" fontId="4" fillId="33" borderId="0" xfId="35" applyFont="1" applyFill="1" applyAlignment="1">
      <alignment horizontal="center" vertical="center"/>
      <protection/>
    </xf>
    <xf numFmtId="49" fontId="4" fillId="33" borderId="0" xfId="35" applyNumberFormat="1" applyFont="1" applyFill="1" applyAlignment="1">
      <alignment horizontal="center" vertical="center"/>
      <protection/>
    </xf>
    <xf numFmtId="2" fontId="7" fillId="33" borderId="11" xfId="0" applyNumberFormat="1" applyFont="1" applyFill="1" applyBorder="1" applyAlignment="1" applyProtection="1">
      <alignment horizontal="center" vertical="center" wrapText="1" shrinkToFit="1"/>
      <protection locked="0"/>
    </xf>
    <xf numFmtId="0" fontId="6" fillId="33" borderId="10" xfId="0" applyNumberFormat="1" applyFont="1" applyFill="1" applyBorder="1" applyAlignment="1" applyProtection="1">
      <alignment horizontal="center" vertical="center" wrapText="1"/>
      <protection/>
    </xf>
    <xf numFmtId="49" fontId="6" fillId="33" borderId="11" xfId="0" applyNumberFormat="1" applyFont="1" applyFill="1" applyBorder="1" applyAlignment="1" applyProtection="1">
      <alignment horizontal="center" vertical="center" wrapText="1" shrinkToFit="1"/>
      <protection locked="0"/>
    </xf>
    <xf numFmtId="0" fontId="13" fillId="33" borderId="10" xfId="0" applyFont="1" applyFill="1" applyBorder="1" applyAlignment="1">
      <alignment vertical="center" wrapText="1"/>
    </xf>
    <xf numFmtId="2" fontId="7" fillId="33" borderId="11" xfId="0" applyNumberFormat="1" applyFont="1" applyFill="1" applyBorder="1" applyAlignment="1" applyProtection="1">
      <alignment horizontal="center" vertical="center" wrapText="1" shrinkToFit="1"/>
      <protection locked="0"/>
    </xf>
    <xf numFmtId="2" fontId="6" fillId="33" borderId="11" xfId="0" applyNumberFormat="1" applyFont="1" applyFill="1" applyBorder="1" applyAlignment="1" applyProtection="1">
      <alignment horizontal="center" vertical="center" wrapText="1" shrinkToFit="1"/>
      <protection locked="0"/>
    </xf>
    <xf numFmtId="49" fontId="6" fillId="33" borderId="11" xfId="0" applyNumberFormat="1" applyFont="1" applyFill="1" applyBorder="1" applyAlignment="1" applyProtection="1">
      <alignment horizontal="center" vertical="center" wrapText="1" shrinkToFit="1"/>
      <protection locked="0"/>
    </xf>
    <xf numFmtId="0" fontId="9" fillId="0" borderId="10" xfId="0" applyFont="1" applyBorder="1" applyAlignment="1">
      <alignment horizontal="justify" vertical="center" wrapText="1"/>
    </xf>
    <xf numFmtId="0" fontId="9" fillId="0" borderId="10" xfId="0" applyNumberFormat="1" applyFont="1" applyFill="1" applyBorder="1" applyAlignment="1" applyProtection="1">
      <alignment horizontal="left" vertical="top" wrapText="1" shrinkToFit="1"/>
      <protection locked="0"/>
    </xf>
    <xf numFmtId="0" fontId="9" fillId="34" borderId="10" xfId="60" applyNumberFormat="1" applyFont="1" applyFill="1" applyBorder="1" applyAlignment="1" applyProtection="1">
      <alignment horizontal="left" vertical="center" wrapText="1" shrinkToFit="1"/>
      <protection locked="0"/>
    </xf>
    <xf numFmtId="49" fontId="9" fillId="0" borderId="10" xfId="0" applyNumberFormat="1" applyFont="1" applyFill="1" applyBorder="1" applyAlignment="1">
      <alignment horizontal="center"/>
    </xf>
    <xf numFmtId="0" fontId="9" fillId="0" borderId="10" xfId="0" applyFont="1" applyFill="1" applyBorder="1" applyAlignment="1">
      <alignment horizontal="justify" vertical="center" wrapText="1"/>
    </xf>
    <xf numFmtId="0" fontId="9" fillId="34" borderId="10" xfId="0" applyNumberFormat="1" applyFont="1" applyFill="1" applyBorder="1" applyAlignment="1" applyProtection="1">
      <alignment horizontal="left" vertical="top" wrapText="1" shrinkToFit="1"/>
      <protection locked="0"/>
    </xf>
    <xf numFmtId="49" fontId="9" fillId="34" borderId="10" xfId="60" applyNumberFormat="1" applyFont="1" applyFill="1" applyBorder="1" applyAlignment="1" applyProtection="1">
      <alignment horizontal="center" vertical="center" wrapText="1" shrinkToFit="1"/>
      <protection locked="0"/>
    </xf>
    <xf numFmtId="2" fontId="9" fillId="33" borderId="10" xfId="60" applyNumberFormat="1" applyFont="1" applyFill="1" applyBorder="1" applyAlignment="1" applyProtection="1">
      <alignment horizontal="center" vertical="center" wrapText="1" shrinkToFit="1"/>
      <protection locked="0"/>
    </xf>
    <xf numFmtId="0" fontId="9" fillId="0" borderId="10" xfId="0" applyNumberFormat="1" applyFont="1" applyFill="1" applyBorder="1" applyAlignment="1" applyProtection="1">
      <alignment horizontal="left" vertical="top" wrapText="1" readingOrder="1"/>
      <protection locked="0"/>
    </xf>
    <xf numFmtId="0" fontId="9" fillId="0" borderId="10" xfId="0" applyNumberFormat="1" applyFont="1" applyFill="1" applyBorder="1" applyAlignment="1" applyProtection="1">
      <alignment horizontal="left" vertical="top" wrapText="1" shrinkToFit="1" readingOrder="1"/>
      <protection locked="0"/>
    </xf>
    <xf numFmtId="2" fontId="6" fillId="33" borderId="10" xfId="60" applyNumberFormat="1" applyFont="1" applyFill="1" applyBorder="1" applyAlignment="1" applyProtection="1">
      <alignment horizontal="center" vertical="center" wrapText="1" shrinkToFit="1"/>
      <protection locked="0"/>
    </xf>
    <xf numFmtId="14" fontId="9" fillId="0" borderId="10" xfId="0" applyNumberFormat="1" applyFont="1" applyFill="1" applyBorder="1" applyAlignment="1" applyProtection="1">
      <alignment horizontal="left" vertical="top" wrapText="1" shrinkToFit="1"/>
      <protection locked="0"/>
    </xf>
    <xf numFmtId="49" fontId="9" fillId="34" borderId="10" xfId="0" applyNumberFormat="1" applyFont="1" applyFill="1" applyBorder="1" applyAlignment="1" applyProtection="1">
      <alignment horizontal="center" vertical="center" wrapText="1" shrinkToFit="1"/>
      <protection locked="0"/>
    </xf>
    <xf numFmtId="2" fontId="6" fillId="33" borderId="10" xfId="0" applyNumberFormat="1" applyFont="1" applyFill="1" applyBorder="1" applyAlignment="1" applyProtection="1">
      <alignment horizontal="center" vertical="center" wrapText="1" shrinkToFit="1"/>
      <protection locked="0"/>
    </xf>
    <xf numFmtId="172" fontId="4" fillId="33" borderId="0" xfId="35" applyNumberFormat="1" applyFont="1" applyFill="1" applyAlignment="1" applyProtection="1">
      <alignment horizontal="center" vertical="center"/>
      <protection locked="0"/>
    </xf>
    <xf numFmtId="0" fontId="9" fillId="0" borderId="12" xfId="0" applyFont="1" applyBorder="1" applyAlignment="1">
      <alignment vertical="center" wrapText="1"/>
    </xf>
    <xf numFmtId="0" fontId="9" fillId="0" borderId="10" xfId="0" applyFont="1" applyBorder="1" applyAlignment="1">
      <alignment horizontal="left" vertical="center" wrapText="1"/>
    </xf>
    <xf numFmtId="49" fontId="9" fillId="0" borderId="10" xfId="0" applyNumberFormat="1" applyFont="1" applyBorder="1" applyAlignment="1">
      <alignment vertical="center" wrapText="1"/>
    </xf>
    <xf numFmtId="180" fontId="9" fillId="0" borderId="10" xfId="0" applyNumberFormat="1" applyFont="1" applyBorder="1" applyAlignment="1">
      <alignment horizontal="center" wrapText="1"/>
    </xf>
    <xf numFmtId="0" fontId="9" fillId="0" borderId="10" xfId="0" applyFont="1" applyBorder="1" applyAlignment="1">
      <alignment vertical="center" wrapText="1"/>
    </xf>
    <xf numFmtId="0" fontId="9" fillId="0" borderId="12" xfId="0" applyFont="1" applyFill="1" applyBorder="1" applyAlignment="1">
      <alignment vertical="top" wrapText="1"/>
    </xf>
    <xf numFmtId="49" fontId="9" fillId="0" borderId="10" xfId="0" applyNumberFormat="1" applyFont="1" applyFill="1" applyBorder="1" applyAlignment="1">
      <alignment horizontal="left"/>
    </xf>
    <xf numFmtId="0" fontId="9" fillId="0" borderId="11" xfId="0" applyNumberFormat="1" applyFont="1" applyFill="1" applyBorder="1" applyAlignment="1">
      <alignment horizontal="left" vertical="top" wrapText="1"/>
    </xf>
    <xf numFmtId="49" fontId="9" fillId="0" borderId="10" xfId="0" applyNumberFormat="1" applyFont="1" applyFill="1" applyBorder="1" applyAlignment="1">
      <alignment horizontal="left" wrapText="1"/>
    </xf>
    <xf numFmtId="180" fontId="9" fillId="0" borderId="10" xfId="0" applyNumberFormat="1" applyFont="1" applyFill="1" applyBorder="1" applyAlignment="1">
      <alignment horizontal="center"/>
    </xf>
    <xf numFmtId="180" fontId="9" fillId="34" borderId="10" xfId="0" applyNumberFormat="1" applyFont="1" applyFill="1" applyBorder="1" applyAlignment="1">
      <alignment horizontal="center"/>
    </xf>
    <xf numFmtId="2" fontId="9" fillId="0" borderId="10" xfId="0" applyNumberFormat="1" applyFont="1" applyFill="1" applyBorder="1" applyAlignment="1">
      <alignment horizontal="center"/>
    </xf>
    <xf numFmtId="49" fontId="9" fillId="0" borderId="11" xfId="0" applyNumberFormat="1" applyFont="1" applyFill="1" applyBorder="1" applyAlignment="1">
      <alignment horizontal="left"/>
    </xf>
    <xf numFmtId="49" fontId="9" fillId="0" borderId="11" xfId="0" applyNumberFormat="1" applyFont="1" applyFill="1" applyBorder="1" applyAlignment="1">
      <alignment horizontal="left" vertical="top" wrapText="1"/>
    </xf>
    <xf numFmtId="180" fontId="9" fillId="0" borderId="10" xfId="0" applyNumberFormat="1" applyFont="1" applyFill="1" applyBorder="1" applyAlignment="1">
      <alignment horizontal="center" wrapText="1"/>
    </xf>
    <xf numFmtId="49" fontId="9" fillId="0" borderId="10" xfId="0" applyNumberFormat="1" applyFont="1" applyFill="1" applyBorder="1" applyAlignment="1">
      <alignment horizontal="left" vertical="top" wrapText="1"/>
    </xf>
    <xf numFmtId="0" fontId="9" fillId="0" borderId="10" xfId="0" applyFont="1" applyFill="1" applyBorder="1" applyAlignment="1">
      <alignment vertical="top"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top"/>
    </xf>
    <xf numFmtId="0" fontId="16" fillId="0" borderId="10" xfId="0" applyNumberFormat="1" applyFont="1" applyFill="1" applyBorder="1" applyAlignment="1" applyProtection="1">
      <alignment horizontal="left" vertical="top" wrapText="1" shrinkToFit="1"/>
      <protection locked="0"/>
    </xf>
    <xf numFmtId="49" fontId="9" fillId="0" borderId="10" xfId="0" applyNumberFormat="1" applyFont="1" applyFill="1" applyBorder="1" applyAlignment="1" applyProtection="1">
      <alignment horizontal="center" vertical="center" wrapText="1" shrinkToFit="1"/>
      <protection locked="0"/>
    </xf>
    <xf numFmtId="172" fontId="9" fillId="33" borderId="10" xfId="0" applyNumberFormat="1" applyFont="1" applyFill="1" applyBorder="1" applyAlignment="1">
      <alignment horizontal="center" vertical="center"/>
    </xf>
    <xf numFmtId="172" fontId="9" fillId="33" borderId="10" xfId="0" applyNumberFormat="1" applyFont="1" applyFill="1" applyBorder="1" applyAlignment="1" applyProtection="1">
      <alignment horizontal="center" vertical="center" wrapText="1" shrinkToFit="1"/>
      <protection locked="0"/>
    </xf>
    <xf numFmtId="172" fontId="9" fillId="0" borderId="10" xfId="0" applyNumberFormat="1" applyFont="1" applyFill="1" applyBorder="1" applyAlignment="1">
      <alignment horizontal="center" vertical="center"/>
    </xf>
    <xf numFmtId="0" fontId="9" fillId="0" borderId="12" xfId="0" applyFont="1" applyFill="1" applyBorder="1" applyAlignment="1">
      <alignment horizontal="justify" vertical="center" wrapText="1"/>
    </xf>
    <xf numFmtId="0" fontId="9" fillId="33" borderId="10" xfId="0" applyFont="1" applyFill="1" applyBorder="1" applyAlignment="1">
      <alignment horizontal="left" vertical="center"/>
    </xf>
    <xf numFmtId="0" fontId="9" fillId="33"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172" fontId="4" fillId="33" borderId="0" xfId="35" applyNumberFormat="1" applyFont="1" applyFill="1" applyAlignment="1">
      <alignment horizontal="center" vertical="center"/>
      <protection/>
    </xf>
    <xf numFmtId="2" fontId="7" fillId="33" borderId="11" xfId="0" applyNumberFormat="1" applyFont="1" applyFill="1" applyBorder="1" applyAlignment="1" applyProtection="1">
      <alignment horizontal="center" vertical="center" wrapText="1" shrinkToFit="1"/>
      <protection locked="0"/>
    </xf>
    <xf numFmtId="2" fontId="6" fillId="33" borderId="11" xfId="0" applyNumberFormat="1" applyFont="1" applyFill="1" applyBorder="1" applyAlignment="1" applyProtection="1">
      <alignment horizontal="center" vertical="center" wrapText="1" shrinkToFit="1"/>
      <protection locked="0"/>
    </xf>
    <xf numFmtId="172" fontId="6" fillId="33" borderId="11" xfId="0" applyNumberFormat="1" applyFont="1" applyFill="1" applyBorder="1" applyAlignment="1" applyProtection="1">
      <alignment horizontal="center" vertical="center" wrapText="1" shrinkToFit="1"/>
      <protection locked="0"/>
    </xf>
    <xf numFmtId="0" fontId="11" fillId="0" borderId="11" xfId="0" applyNumberFormat="1" applyFont="1" applyFill="1" applyBorder="1" applyAlignment="1">
      <alignment horizontal="left" vertical="center" wrapText="1"/>
    </xf>
    <xf numFmtId="49" fontId="9" fillId="0" borderId="10" xfId="0" applyNumberFormat="1" applyFont="1" applyFill="1" applyBorder="1" applyAlignment="1">
      <alignment horizontal="center" wrapText="1"/>
    </xf>
    <xf numFmtId="0" fontId="6" fillId="33" borderId="11" xfId="0" applyNumberFormat="1" applyFont="1" applyFill="1" applyBorder="1" applyAlignment="1" applyProtection="1">
      <alignment horizontal="center" vertical="center" wrapText="1" shrinkToFit="1"/>
      <protection locked="0"/>
    </xf>
    <xf numFmtId="0" fontId="6" fillId="33" borderId="11" xfId="0" applyNumberFormat="1" applyFont="1" applyFill="1" applyBorder="1" applyAlignment="1" applyProtection="1">
      <alignment horizontal="center" vertical="center" wrapText="1" shrinkToFit="1"/>
      <protection locked="0"/>
    </xf>
    <xf numFmtId="0" fontId="0" fillId="33" borderId="13" xfId="0" applyFill="1" applyBorder="1" applyAlignment="1">
      <alignment horizontal="center" vertical="center" wrapText="1" shrinkToFit="1"/>
    </xf>
    <xf numFmtId="49" fontId="6" fillId="33" borderId="10" xfId="0" applyNumberFormat="1" applyFont="1" applyFill="1" applyBorder="1" applyAlignment="1" applyProtection="1">
      <alignment horizontal="center" vertical="center" wrapText="1"/>
      <protection/>
    </xf>
    <xf numFmtId="49" fontId="0" fillId="33" borderId="10" xfId="0" applyNumberFormat="1" applyFill="1" applyBorder="1" applyAlignment="1">
      <alignment horizontal="center" vertical="center" wrapText="1"/>
    </xf>
    <xf numFmtId="49" fontId="6" fillId="33" borderId="11" xfId="0" applyNumberFormat="1" applyFont="1" applyFill="1" applyBorder="1" applyAlignment="1" applyProtection="1">
      <alignment horizontal="center" vertical="center" wrapText="1" shrinkToFit="1"/>
      <protection locked="0"/>
    </xf>
    <xf numFmtId="49" fontId="0" fillId="33" borderId="13" xfId="0" applyNumberFormat="1" applyFill="1" applyBorder="1" applyAlignment="1">
      <alignment horizontal="center" vertical="center" wrapText="1" shrinkToFit="1"/>
    </xf>
    <xf numFmtId="14" fontId="6" fillId="33" borderId="11" xfId="0" applyNumberFormat="1" applyFont="1" applyFill="1" applyBorder="1" applyAlignment="1" applyProtection="1">
      <alignment horizontal="center" vertical="center" wrapText="1" shrinkToFit="1"/>
      <protection locked="0"/>
    </xf>
    <xf numFmtId="0" fontId="6" fillId="33" borderId="13" xfId="0" applyNumberFormat="1" applyFont="1" applyFill="1" applyBorder="1" applyAlignment="1" applyProtection="1">
      <alignment horizontal="center" vertical="center" wrapText="1" shrinkToFit="1"/>
      <protection locked="0"/>
    </xf>
    <xf numFmtId="0" fontId="3" fillId="33" borderId="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2" fontId="7" fillId="33" borderId="11" xfId="0" applyNumberFormat="1" applyFont="1" applyFill="1" applyBorder="1" applyAlignment="1" applyProtection="1">
      <alignment horizontal="center" vertical="center" wrapText="1" shrinkToFit="1"/>
      <protection locked="0"/>
    </xf>
    <xf numFmtId="2" fontId="7" fillId="33" borderId="13" xfId="0" applyNumberFormat="1" applyFont="1" applyFill="1" applyBorder="1" applyAlignment="1" applyProtection="1">
      <alignment horizontal="center" vertical="center" wrapText="1" shrinkToFit="1"/>
      <protection locked="0"/>
    </xf>
    <xf numFmtId="0" fontId="6" fillId="33" borderId="12" xfId="0" applyNumberFormat="1" applyFont="1" applyFill="1" applyBorder="1" applyAlignment="1" applyProtection="1">
      <alignment horizontal="center" vertical="center" wrapText="1"/>
      <protection/>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2" xfId="0" applyFill="1" applyBorder="1" applyAlignment="1">
      <alignment horizontal="center" vertical="center" wrapText="1"/>
    </xf>
    <xf numFmtId="0" fontId="13" fillId="33" borderId="10" xfId="0" applyFont="1" applyFill="1" applyBorder="1" applyAlignment="1">
      <alignment vertical="center" wrapText="1"/>
    </xf>
    <xf numFmtId="0" fontId="13" fillId="33" borderId="11" xfId="0" applyFont="1" applyFill="1" applyBorder="1" applyAlignment="1">
      <alignment horizontal="left" vertical="top" wrapText="1"/>
    </xf>
    <xf numFmtId="0" fontId="13" fillId="33" borderId="13" xfId="0" applyFont="1" applyFill="1" applyBorder="1" applyAlignment="1">
      <alignment horizontal="left" vertical="top" wrapText="1"/>
    </xf>
    <xf numFmtId="2" fontId="6" fillId="33" borderId="11" xfId="0" applyNumberFormat="1" applyFont="1" applyFill="1" applyBorder="1" applyAlignment="1" applyProtection="1">
      <alignment horizontal="center" vertical="center" wrapText="1" shrinkToFit="1"/>
      <protection locked="0"/>
    </xf>
    <xf numFmtId="2" fontId="0" fillId="33" borderId="13" xfId="0" applyNumberFormat="1" applyFill="1" applyBorder="1" applyAlignment="1">
      <alignment horizontal="center" vertical="center" wrapText="1" shrinkToFit="1"/>
    </xf>
    <xf numFmtId="2" fontId="6" fillId="33" borderId="13" xfId="0" applyNumberFormat="1" applyFont="1" applyFill="1" applyBorder="1" applyAlignment="1" applyProtection="1">
      <alignment horizontal="center" vertical="center" wrapText="1" shrinkToFit="1"/>
      <protection locked="0"/>
    </xf>
    <xf numFmtId="0" fontId="9" fillId="33" borderId="0" xfId="0" applyNumberFormat="1" applyFont="1" applyFill="1" applyBorder="1" applyAlignment="1" applyProtection="1">
      <alignment horizontal="left" vertical="center" wrapText="1"/>
      <protection/>
    </xf>
    <xf numFmtId="0" fontId="6" fillId="33" borderId="11"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4" fillId="33" borderId="0" xfId="35" applyFont="1" applyFill="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11" fillId="33" borderId="11" xfId="0" applyFont="1" applyFill="1" applyBorder="1" applyAlignment="1">
      <alignment horizontal="justify" vertical="center" wrapText="1"/>
    </xf>
    <xf numFmtId="0" fontId="11" fillId="33" borderId="13" xfId="0" applyFont="1" applyFill="1" applyBorder="1" applyAlignment="1">
      <alignment horizontal="justify" vertical="center" wrapText="1"/>
    </xf>
    <xf numFmtId="49" fontId="6" fillId="33" borderId="13" xfId="0" applyNumberFormat="1" applyFont="1" applyFill="1" applyBorder="1" applyAlignment="1" applyProtection="1">
      <alignment horizontal="center" vertical="center" wrapText="1" shrinkToFit="1"/>
      <protection locked="0"/>
    </xf>
    <xf numFmtId="172" fontId="6" fillId="33" borderId="11" xfId="0" applyNumberFormat="1" applyFont="1" applyFill="1" applyBorder="1" applyAlignment="1" applyProtection="1">
      <alignment horizontal="center" vertical="center" wrapText="1" shrinkToFit="1"/>
      <protection locked="0"/>
    </xf>
    <xf numFmtId="172" fontId="6" fillId="33" borderId="13" xfId="0" applyNumberFormat="1" applyFont="1" applyFill="1" applyBorder="1" applyAlignment="1" applyProtection="1">
      <alignment horizontal="center" vertical="center" wrapText="1" shrinkToFit="1"/>
      <protection locked="0"/>
    </xf>
    <xf numFmtId="0" fontId="15" fillId="0" borderId="10" xfId="0" applyFont="1" applyBorder="1" applyAlignment="1">
      <alignment horizontal="center"/>
    </xf>
    <xf numFmtId="49" fontId="15" fillId="0" borderId="12" xfId="0" applyNumberFormat="1" applyFont="1" applyBorder="1" applyAlignment="1">
      <alignment horizontal="center"/>
    </xf>
    <xf numFmtId="49" fontId="15" fillId="0" borderId="15" xfId="0" applyNumberFormat="1" applyFont="1" applyBorder="1" applyAlignment="1">
      <alignment horizontal="center"/>
    </xf>
    <xf numFmtId="14" fontId="6" fillId="33" borderId="10" xfId="0" applyNumberFormat="1" applyFont="1" applyFill="1" applyBorder="1" applyAlignment="1" applyProtection="1">
      <alignment horizontal="left" vertical="center" wrapText="1" shrinkToFit="1"/>
      <protection locked="0"/>
    </xf>
    <xf numFmtId="0" fontId="10" fillId="0" borderId="16" xfId="0" applyFont="1" applyFill="1" applyBorder="1" applyAlignment="1">
      <alignment horizontal="center" vertical="top" wrapText="1"/>
    </xf>
    <xf numFmtId="0" fontId="9" fillId="0" borderId="10" xfId="0" applyNumberFormat="1" applyFont="1" applyFill="1" applyBorder="1" applyAlignment="1" applyProtection="1">
      <alignment horizontal="left" vertical="top" wrapText="1"/>
      <protection locked="0"/>
    </xf>
    <xf numFmtId="0" fontId="6" fillId="33" borderId="10" xfId="0" applyNumberFormat="1" applyFont="1" applyFill="1" applyBorder="1" applyAlignment="1" applyProtection="1">
      <alignment horizontal="left" vertical="top" wrapText="1"/>
      <protection locked="0"/>
    </xf>
    <xf numFmtId="0" fontId="9" fillId="0" borderId="10" xfId="60" applyNumberFormat="1" applyFont="1" applyFill="1" applyBorder="1" applyAlignment="1" applyProtection="1">
      <alignment horizontal="left" vertical="top" wrapText="1" shrinkToFit="1"/>
      <protection locked="0"/>
    </xf>
    <xf numFmtId="14" fontId="9" fillId="0" borderId="10" xfId="60" applyNumberFormat="1" applyFont="1" applyFill="1" applyBorder="1" applyAlignment="1" applyProtection="1">
      <alignment horizontal="left" vertical="top" wrapText="1"/>
      <protection locked="0"/>
    </xf>
    <xf numFmtId="14" fontId="6" fillId="33" borderId="10" xfId="60" applyNumberFormat="1" applyFont="1" applyFill="1" applyBorder="1" applyAlignment="1" applyProtection="1">
      <alignment horizontal="left" vertical="top" wrapText="1"/>
      <protection locked="0"/>
    </xf>
    <xf numFmtId="14" fontId="6" fillId="33" borderId="10" xfId="0" applyNumberFormat="1" applyFont="1" applyFill="1" applyBorder="1" applyAlignment="1" applyProtection="1">
      <alignment horizontal="left" vertical="top" wrapText="1" shrinkToFit="1"/>
      <protection locked="0"/>
    </xf>
    <xf numFmtId="181" fontId="9" fillId="0" borderId="11" xfId="0" applyNumberFormat="1" applyFont="1" applyFill="1" applyBorder="1" applyAlignment="1">
      <alignment horizontal="left" vertical="top" wrapText="1"/>
    </xf>
  </cellXfs>
  <cellStyles count="51">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aifo8\d\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95"/>
  <sheetViews>
    <sheetView showZeros="0" tabSelected="1" view="pageBreakPreview" zoomScale="80" zoomScaleNormal="73" zoomScaleSheetLayoutView="80" zoomScalePageLayoutView="0" workbookViewId="0" topLeftCell="B1">
      <pane xSplit="2" ySplit="8" topLeftCell="D48" activePane="bottomRight" state="frozen"/>
      <selection pane="topLeft" activeCell="Q221" sqref="Q221"/>
      <selection pane="topRight" activeCell="Q221" sqref="Q221"/>
      <selection pane="bottomLeft" activeCell="Q221" sqref="Q221"/>
      <selection pane="bottomRight" activeCell="D48" sqref="D48"/>
    </sheetView>
  </sheetViews>
  <sheetFormatPr defaultColWidth="9.00390625" defaultRowHeight="12.75"/>
  <cols>
    <col min="1" max="1" width="0" style="3" hidden="1" customWidth="1"/>
    <col min="2" max="2" width="1.25" style="1" hidden="1" customWidth="1"/>
    <col min="3" max="3" width="34.375" style="88" customWidth="1"/>
    <col min="4" max="4" width="30.375" style="89" customWidth="1"/>
    <col min="5" max="5" width="9.75390625" style="89" customWidth="1"/>
    <col min="6" max="6" width="13.875" style="89" customWidth="1"/>
    <col min="7" max="7" width="27.25390625" style="89" customWidth="1"/>
    <col min="8" max="8" width="16.625" style="89" customWidth="1"/>
    <col min="9" max="9" width="12.625" style="89" customWidth="1"/>
    <col min="10" max="10" width="5.875" style="90" customWidth="1"/>
    <col min="11" max="11" width="6.25390625" style="90" customWidth="1"/>
    <col min="12" max="12" width="13.00390625" style="89" customWidth="1"/>
    <col min="13" max="13" width="11.875" style="89" customWidth="1"/>
    <col min="14" max="15" width="11.375" style="89" customWidth="1"/>
    <col min="16" max="16" width="10.125" style="89" customWidth="1"/>
    <col min="17" max="18" width="8.625" style="89" customWidth="1"/>
    <col min="19" max="22" width="11.00390625" style="89" customWidth="1"/>
    <col min="23" max="23" width="10.875" style="89" customWidth="1"/>
    <col min="24" max="24" width="9.875" style="3" customWidth="1"/>
    <col min="25" max="25" width="14.625" style="3" customWidth="1"/>
    <col min="26" max="26" width="13.25390625" style="3" customWidth="1"/>
    <col min="27" max="27" width="15.875" style="3" customWidth="1"/>
    <col min="28" max="28" width="14.75390625" style="3" customWidth="1"/>
    <col min="29" max="29" width="13.25390625" style="3" customWidth="1"/>
    <col min="30" max="30" width="16.625" style="3" customWidth="1"/>
    <col min="31" max="16384" width="9.125" style="3" customWidth="1"/>
  </cols>
  <sheetData>
    <row r="1" spans="1:24" s="43" customFormat="1" ht="15.75">
      <c r="A1" s="41" t="s">
        <v>0</v>
      </c>
      <c r="B1" s="159" t="s">
        <v>253</v>
      </c>
      <c r="C1" s="159"/>
      <c r="D1" s="159"/>
      <c r="E1" s="159"/>
      <c r="F1" s="159"/>
      <c r="G1" s="159"/>
      <c r="H1" s="159"/>
      <c r="I1" s="159"/>
      <c r="J1" s="159"/>
      <c r="K1" s="159"/>
      <c r="L1" s="159"/>
      <c r="M1" s="159"/>
      <c r="N1" s="159"/>
      <c r="O1" s="159"/>
      <c r="P1" s="159"/>
      <c r="Q1" s="159"/>
      <c r="R1" s="159"/>
      <c r="S1" s="159"/>
      <c r="T1" s="159"/>
      <c r="U1" s="159"/>
      <c r="V1" s="159"/>
      <c r="W1" s="159"/>
      <c r="X1" s="41"/>
    </row>
    <row r="2" spans="1:24" s="43" customFormat="1" ht="6" customHeight="1">
      <c r="A2" s="41"/>
      <c r="B2" s="49"/>
      <c r="C2" s="55"/>
      <c r="D2" s="50"/>
      <c r="E2" s="50"/>
      <c r="F2" s="50"/>
      <c r="G2" s="50"/>
      <c r="H2" s="50"/>
      <c r="I2" s="50"/>
      <c r="J2" s="56"/>
      <c r="K2" s="56"/>
      <c r="L2" s="50"/>
      <c r="M2" s="50"/>
      <c r="N2" s="50"/>
      <c r="O2" s="50"/>
      <c r="P2" s="50"/>
      <c r="Q2" s="50"/>
      <c r="R2" s="50"/>
      <c r="S2" s="50"/>
      <c r="T2" s="50"/>
      <c r="U2" s="50"/>
      <c r="V2" s="50"/>
      <c r="W2" s="50"/>
      <c r="X2" s="41"/>
    </row>
    <row r="3" spans="1:24" s="43" customFormat="1" ht="15.75" customHeight="1">
      <c r="A3" s="41"/>
      <c r="B3" s="49"/>
      <c r="C3" s="57" t="s">
        <v>203</v>
      </c>
      <c r="D3" s="50"/>
      <c r="E3" s="50"/>
      <c r="F3" s="50"/>
      <c r="G3" s="50"/>
      <c r="H3" s="174" t="s">
        <v>229</v>
      </c>
      <c r="I3" s="174"/>
      <c r="J3" s="174"/>
      <c r="K3" s="174"/>
      <c r="L3" s="174"/>
      <c r="M3" s="50"/>
      <c r="N3" s="50"/>
      <c r="O3" s="50"/>
      <c r="P3" s="50"/>
      <c r="Q3" s="50"/>
      <c r="R3" s="50"/>
      <c r="S3" s="50"/>
      <c r="T3" s="50"/>
      <c r="U3" s="50"/>
      <c r="V3" s="50"/>
      <c r="W3" s="50"/>
      <c r="X3" s="41"/>
    </row>
    <row r="4" spans="1:24" s="43" customFormat="1" ht="18" customHeight="1">
      <c r="A4" s="41"/>
      <c r="B4" s="49"/>
      <c r="C4" s="57" t="s">
        <v>204</v>
      </c>
      <c r="D4" s="50"/>
      <c r="E4" s="50"/>
      <c r="F4" s="50"/>
      <c r="G4" s="50"/>
      <c r="H4" s="50"/>
      <c r="I4" s="50"/>
      <c r="J4" s="56"/>
      <c r="K4" s="56"/>
      <c r="L4" s="50"/>
      <c r="M4" s="50"/>
      <c r="N4" s="50"/>
      <c r="O4" s="50"/>
      <c r="P4" s="50"/>
      <c r="Q4" s="50"/>
      <c r="R4" s="50"/>
      <c r="S4" s="50"/>
      <c r="T4" s="50"/>
      <c r="U4" s="50"/>
      <c r="V4" s="50"/>
      <c r="W4" s="50"/>
      <c r="X4" s="41"/>
    </row>
    <row r="5" spans="1:24" s="43" customFormat="1" ht="24.75" customHeight="1">
      <c r="A5" s="41"/>
      <c r="B5" s="160" t="s">
        <v>14</v>
      </c>
      <c r="C5" s="160"/>
      <c r="D5" s="161" t="s">
        <v>20</v>
      </c>
      <c r="E5" s="161"/>
      <c r="F5" s="161"/>
      <c r="G5" s="161"/>
      <c r="H5" s="161"/>
      <c r="I5" s="161"/>
      <c r="J5" s="153" t="s">
        <v>13</v>
      </c>
      <c r="K5" s="154"/>
      <c r="L5" s="161" t="s">
        <v>17</v>
      </c>
      <c r="M5" s="161"/>
      <c r="N5" s="161"/>
      <c r="O5" s="161"/>
      <c r="P5" s="161"/>
      <c r="Q5" s="161"/>
      <c r="R5" s="161"/>
      <c r="S5" s="161"/>
      <c r="T5" s="161"/>
      <c r="U5" s="161"/>
      <c r="V5" s="161"/>
      <c r="W5" s="161"/>
      <c r="X5" s="41"/>
    </row>
    <row r="6" spans="1:24" s="43" customFormat="1" ht="27" customHeight="1">
      <c r="A6" s="41" t="s">
        <v>1</v>
      </c>
      <c r="B6" s="160"/>
      <c r="C6" s="160"/>
      <c r="D6" s="161" t="s">
        <v>10</v>
      </c>
      <c r="E6" s="161"/>
      <c r="F6" s="161"/>
      <c r="G6" s="161" t="s">
        <v>200</v>
      </c>
      <c r="H6" s="161"/>
      <c r="I6" s="161"/>
      <c r="J6" s="154"/>
      <c r="K6" s="154"/>
      <c r="L6" s="161" t="s">
        <v>248</v>
      </c>
      <c r="M6" s="161"/>
      <c r="N6" s="175" t="s">
        <v>249</v>
      </c>
      <c r="O6" s="164" t="s">
        <v>250</v>
      </c>
      <c r="P6" s="165"/>
      <c r="Q6" s="166"/>
      <c r="R6" s="167">
        <v>2024</v>
      </c>
      <c r="S6" s="165"/>
      <c r="T6" s="166"/>
      <c r="U6" s="167">
        <v>2025</v>
      </c>
      <c r="V6" s="165"/>
      <c r="W6" s="166"/>
      <c r="X6" s="41"/>
    </row>
    <row r="7" spans="1:24" s="43" customFormat="1" ht="63" customHeight="1">
      <c r="A7" s="41" t="s">
        <v>2</v>
      </c>
      <c r="B7" s="160"/>
      <c r="C7" s="160"/>
      <c r="D7" s="54" t="s">
        <v>8</v>
      </c>
      <c r="E7" s="54" t="s">
        <v>9</v>
      </c>
      <c r="F7" s="54" t="s">
        <v>3</v>
      </c>
      <c r="G7" s="54" t="s">
        <v>8</v>
      </c>
      <c r="H7" s="54" t="s">
        <v>9</v>
      </c>
      <c r="I7" s="54" t="s">
        <v>3</v>
      </c>
      <c r="J7" s="58" t="s">
        <v>15</v>
      </c>
      <c r="K7" s="58" t="s">
        <v>16</v>
      </c>
      <c r="L7" s="92" t="s">
        <v>11</v>
      </c>
      <c r="M7" s="92" t="s">
        <v>12</v>
      </c>
      <c r="N7" s="176"/>
      <c r="O7" s="92" t="s">
        <v>190</v>
      </c>
      <c r="P7" s="92" t="s">
        <v>191</v>
      </c>
      <c r="Q7" s="92" t="s">
        <v>192</v>
      </c>
      <c r="R7" s="92" t="s">
        <v>190</v>
      </c>
      <c r="S7" s="92" t="s">
        <v>191</v>
      </c>
      <c r="T7" s="92" t="s">
        <v>192</v>
      </c>
      <c r="U7" s="92" t="s">
        <v>190</v>
      </c>
      <c r="V7" s="92" t="s">
        <v>191</v>
      </c>
      <c r="W7" s="92" t="s">
        <v>192</v>
      </c>
      <c r="X7" s="41"/>
    </row>
    <row r="8" spans="1:24" s="43" customFormat="1" ht="19.5" customHeight="1">
      <c r="A8" s="41" t="s">
        <v>4</v>
      </c>
      <c r="B8" s="51"/>
      <c r="C8" s="59">
        <v>1</v>
      </c>
      <c r="D8" s="54">
        <v>2</v>
      </c>
      <c r="E8" s="54">
        <v>3</v>
      </c>
      <c r="F8" s="54">
        <v>4</v>
      </c>
      <c r="G8" s="54">
        <v>5</v>
      </c>
      <c r="H8" s="54">
        <v>6</v>
      </c>
      <c r="I8" s="54">
        <v>7</v>
      </c>
      <c r="J8" s="58" t="s">
        <v>4</v>
      </c>
      <c r="K8" s="58" t="s">
        <v>189</v>
      </c>
      <c r="L8" s="92">
        <v>10</v>
      </c>
      <c r="M8" s="92">
        <v>11</v>
      </c>
      <c r="N8" s="92">
        <v>12</v>
      </c>
      <c r="O8" s="92">
        <v>13</v>
      </c>
      <c r="P8" s="92">
        <v>14</v>
      </c>
      <c r="Q8" s="92">
        <v>15</v>
      </c>
      <c r="R8" s="92">
        <v>19</v>
      </c>
      <c r="S8" s="92">
        <v>20</v>
      </c>
      <c r="T8" s="92">
        <v>21</v>
      </c>
      <c r="U8" s="92">
        <v>19</v>
      </c>
      <c r="V8" s="92">
        <v>20</v>
      </c>
      <c r="W8" s="92">
        <v>21</v>
      </c>
      <c r="X8" s="41"/>
    </row>
    <row r="9" spans="1:28" s="43" customFormat="1" ht="12.75">
      <c r="A9" s="41" t="s">
        <v>5</v>
      </c>
      <c r="B9" s="168"/>
      <c r="C9" s="169" t="s">
        <v>170</v>
      </c>
      <c r="D9" s="151" t="s">
        <v>19</v>
      </c>
      <c r="E9" s="151" t="s">
        <v>19</v>
      </c>
      <c r="F9" s="151" t="s">
        <v>19</v>
      </c>
      <c r="G9" s="151" t="s">
        <v>19</v>
      </c>
      <c r="H9" s="151" t="s">
        <v>19</v>
      </c>
      <c r="I9" s="151" t="s">
        <v>19</v>
      </c>
      <c r="J9" s="155" t="s">
        <v>19</v>
      </c>
      <c r="K9" s="155" t="s">
        <v>19</v>
      </c>
      <c r="L9" s="162">
        <f>L11</f>
        <v>357404.70000000007</v>
      </c>
      <c r="M9" s="162">
        <f>M11</f>
        <v>334545.10000000003</v>
      </c>
      <c r="N9" s="162">
        <f>N11</f>
        <v>282010.39999999997</v>
      </c>
      <c r="O9" s="162">
        <f>P9+Q9</f>
        <v>191608.3</v>
      </c>
      <c r="P9" s="162">
        <f>P11</f>
        <v>191608.3</v>
      </c>
      <c r="Q9" s="162">
        <f>Q11</f>
        <v>0</v>
      </c>
      <c r="R9" s="162">
        <f>S9+T9</f>
        <v>170666.79999999996</v>
      </c>
      <c r="S9" s="162">
        <f>S11</f>
        <v>170666.79999999996</v>
      </c>
      <c r="T9" s="162">
        <f>T11</f>
        <v>0</v>
      </c>
      <c r="U9" s="162">
        <f>V9+W9</f>
        <v>170666.79999999996</v>
      </c>
      <c r="V9" s="162">
        <f>V11</f>
        <v>170666.79999999996</v>
      </c>
      <c r="W9" s="162">
        <f>W11</f>
        <v>0</v>
      </c>
      <c r="X9" s="41"/>
      <c r="Y9" s="42"/>
      <c r="Z9" s="42"/>
      <c r="AA9" s="42"/>
      <c r="AB9" s="42"/>
    </row>
    <row r="10" spans="1:33" s="43" customFormat="1" ht="12.75">
      <c r="A10" s="41" t="s">
        <v>6</v>
      </c>
      <c r="B10" s="168"/>
      <c r="C10" s="170"/>
      <c r="D10" s="152"/>
      <c r="E10" s="152"/>
      <c r="F10" s="152"/>
      <c r="G10" s="152"/>
      <c r="H10" s="152"/>
      <c r="I10" s="152"/>
      <c r="J10" s="156"/>
      <c r="K10" s="156"/>
      <c r="L10" s="163"/>
      <c r="M10" s="163"/>
      <c r="N10" s="163"/>
      <c r="O10" s="163"/>
      <c r="P10" s="163"/>
      <c r="Q10" s="163"/>
      <c r="R10" s="163"/>
      <c r="S10" s="163"/>
      <c r="T10" s="163"/>
      <c r="U10" s="163"/>
      <c r="V10" s="163"/>
      <c r="W10" s="163"/>
      <c r="X10" s="41"/>
      <c r="Y10" s="42"/>
      <c r="Z10" s="42"/>
      <c r="AA10" s="42"/>
      <c r="AB10" s="42"/>
      <c r="AC10" s="42"/>
      <c r="AD10" s="42"/>
      <c r="AE10" s="42"/>
      <c r="AF10" s="42"/>
      <c r="AG10" s="42">
        <f>Z9</f>
        <v>0</v>
      </c>
    </row>
    <row r="11" spans="1:30" s="43" customFormat="1" ht="12.75">
      <c r="A11" s="41"/>
      <c r="B11" s="53"/>
      <c r="C11" s="60" t="s">
        <v>171</v>
      </c>
      <c r="D11" s="61" t="s">
        <v>19</v>
      </c>
      <c r="E11" s="61" t="s">
        <v>19</v>
      </c>
      <c r="F11" s="61" t="s">
        <v>19</v>
      </c>
      <c r="G11" s="61" t="s">
        <v>19</v>
      </c>
      <c r="H11" s="61" t="s">
        <v>19</v>
      </c>
      <c r="I11" s="61" t="s">
        <v>19</v>
      </c>
      <c r="J11" s="62" t="s">
        <v>19</v>
      </c>
      <c r="K11" s="62" t="s">
        <v>19</v>
      </c>
      <c r="L11" s="44">
        <f>SUM(L12:L32)</f>
        <v>357404.70000000007</v>
      </c>
      <c r="M11" s="44">
        <f aca="true" t="shared" si="0" ref="M11:T11">SUM(M12:M32)</f>
        <v>334545.10000000003</v>
      </c>
      <c r="N11" s="44">
        <f t="shared" si="0"/>
        <v>282010.39999999997</v>
      </c>
      <c r="O11" s="44">
        <f t="shared" si="0"/>
        <v>191608.3</v>
      </c>
      <c r="P11" s="44">
        <f t="shared" si="0"/>
        <v>191608.3</v>
      </c>
      <c r="Q11" s="44">
        <f t="shared" si="0"/>
        <v>0</v>
      </c>
      <c r="R11" s="44">
        <f t="shared" si="0"/>
        <v>162170.09999999998</v>
      </c>
      <c r="S11" s="44">
        <f t="shared" si="0"/>
        <v>170666.79999999996</v>
      </c>
      <c r="T11" s="44">
        <f t="shared" si="0"/>
        <v>0</v>
      </c>
      <c r="U11" s="44">
        <f>SUM(U12:U32)</f>
        <v>162170.09999999998</v>
      </c>
      <c r="V11" s="44">
        <f>SUM(V12:V32)</f>
        <v>170666.79999999996</v>
      </c>
      <c r="W11" s="44">
        <f>SUM(W12:W32)</f>
        <v>0</v>
      </c>
      <c r="X11" s="41"/>
      <c r="Y11" s="42"/>
      <c r="Z11" s="42"/>
      <c r="AA11" s="42"/>
      <c r="AB11" s="42"/>
      <c r="AC11" s="42"/>
      <c r="AD11" s="42"/>
    </row>
    <row r="12" spans="1:30" s="43" customFormat="1" ht="270">
      <c r="A12" s="41"/>
      <c r="B12" s="94"/>
      <c r="C12" s="102" t="s">
        <v>303</v>
      </c>
      <c r="D12" s="99" t="s">
        <v>29</v>
      </c>
      <c r="E12" s="99" t="s">
        <v>304</v>
      </c>
      <c r="F12" s="99" t="s">
        <v>305</v>
      </c>
      <c r="G12" s="134" t="s">
        <v>342</v>
      </c>
      <c r="H12" s="134" t="s">
        <v>343</v>
      </c>
      <c r="I12" s="134" t="s">
        <v>344</v>
      </c>
      <c r="J12" s="135" t="s">
        <v>340</v>
      </c>
      <c r="K12" s="135" t="s">
        <v>341</v>
      </c>
      <c r="L12" s="136">
        <f>7923.8+1011.4+386.9</f>
        <v>9322.1</v>
      </c>
      <c r="M12" s="137">
        <f>7921.7+1008.1+292.4</f>
        <v>9222.199999999999</v>
      </c>
      <c r="N12" s="138">
        <f>8053.9+1060.5+909.3</f>
        <v>10023.699999999999</v>
      </c>
      <c r="O12" s="138">
        <f>P12+Q12</f>
        <v>10033.099999999999</v>
      </c>
      <c r="P12" s="138">
        <f>8063.3+1060.5+909.3</f>
        <v>10033.099999999999</v>
      </c>
      <c r="Q12" s="138">
        <v>0</v>
      </c>
      <c r="R12" s="138">
        <f>S12+T12</f>
        <v>10031.699999999999</v>
      </c>
      <c r="S12" s="138">
        <f>8061.9+1060.5+909.3</f>
        <v>10031.699999999999</v>
      </c>
      <c r="T12" s="138">
        <v>0</v>
      </c>
      <c r="U12" s="138">
        <f>V12+W12</f>
        <v>10031.699999999999</v>
      </c>
      <c r="V12" s="138">
        <f>8061.9+1060.5+909.3</f>
        <v>10031.699999999999</v>
      </c>
      <c r="W12" s="138">
        <v>0</v>
      </c>
      <c r="X12" s="41"/>
      <c r="Y12" s="42"/>
      <c r="Z12" s="42"/>
      <c r="AA12" s="42"/>
      <c r="AB12" s="42"/>
      <c r="AC12" s="42"/>
      <c r="AD12" s="42"/>
    </row>
    <row r="13" spans="1:30" s="43" customFormat="1" ht="270">
      <c r="A13" s="41"/>
      <c r="B13" s="94"/>
      <c r="C13" s="139" t="s">
        <v>307</v>
      </c>
      <c r="D13" s="99" t="s">
        <v>30</v>
      </c>
      <c r="E13" s="99" t="s">
        <v>255</v>
      </c>
      <c r="F13" s="99" t="s">
        <v>308</v>
      </c>
      <c r="G13" s="134" t="s">
        <v>342</v>
      </c>
      <c r="H13" s="134" t="s">
        <v>343</v>
      </c>
      <c r="I13" s="134" t="s">
        <v>344</v>
      </c>
      <c r="J13" s="135" t="s">
        <v>21</v>
      </c>
      <c r="K13" s="135" t="s">
        <v>306</v>
      </c>
      <c r="L13" s="136">
        <v>1004.6</v>
      </c>
      <c r="M13" s="137">
        <v>1004.6</v>
      </c>
      <c r="N13" s="138">
        <v>1054.8</v>
      </c>
      <c r="O13" s="138">
        <f>P13+Q13</f>
        <v>1054.8</v>
      </c>
      <c r="P13" s="138">
        <v>1054.8</v>
      </c>
      <c r="Q13" s="138">
        <v>0</v>
      </c>
      <c r="R13" s="138">
        <f>S13+T13</f>
        <v>1054.8</v>
      </c>
      <c r="S13" s="138">
        <v>1054.8</v>
      </c>
      <c r="T13" s="138">
        <v>0</v>
      </c>
      <c r="U13" s="138">
        <f>V13+W13</f>
        <v>1054.8</v>
      </c>
      <c r="V13" s="138">
        <v>1054.8</v>
      </c>
      <c r="W13" s="138">
        <v>0</v>
      </c>
      <c r="X13" s="41"/>
      <c r="Y13" s="42"/>
      <c r="Z13" s="42"/>
      <c r="AA13" s="42"/>
      <c r="AB13" s="42"/>
      <c r="AC13" s="42"/>
      <c r="AD13" s="42"/>
    </row>
    <row r="14" spans="1:30" s="43" customFormat="1" ht="288">
      <c r="A14" s="41"/>
      <c r="B14" s="40"/>
      <c r="C14" s="63" t="s">
        <v>172</v>
      </c>
      <c r="D14" s="64" t="s">
        <v>89</v>
      </c>
      <c r="E14" s="64" t="s">
        <v>90</v>
      </c>
      <c r="F14" s="64" t="s">
        <v>221</v>
      </c>
      <c r="G14" s="65" t="s">
        <v>346</v>
      </c>
      <c r="H14" s="65" t="s">
        <v>345</v>
      </c>
      <c r="I14" s="65" t="s">
        <v>347</v>
      </c>
      <c r="J14" s="66" t="s">
        <v>242</v>
      </c>
      <c r="K14" s="66" t="s">
        <v>241</v>
      </c>
      <c r="L14" s="2">
        <f>85+99.5+37.8+120+4.1+4.2</f>
        <v>350.6</v>
      </c>
      <c r="M14" s="2">
        <v>338</v>
      </c>
      <c r="N14" s="2">
        <v>222.3</v>
      </c>
      <c r="O14" s="91">
        <f aca="true" t="shared" si="1" ref="O14:O19">P14+Q14</f>
        <v>222.3</v>
      </c>
      <c r="P14" s="2">
        <v>222.3</v>
      </c>
      <c r="Q14" s="2"/>
      <c r="R14" s="91">
        <f aca="true" t="shared" si="2" ref="R14:R19">S14+T14</f>
        <v>222.3</v>
      </c>
      <c r="S14" s="2">
        <v>222.3</v>
      </c>
      <c r="T14" s="2"/>
      <c r="U14" s="145">
        <f>V14+W14</f>
        <v>222.3</v>
      </c>
      <c r="V14" s="2">
        <v>222.3</v>
      </c>
      <c r="W14" s="2"/>
      <c r="X14" s="41"/>
      <c r="Y14" s="42"/>
      <c r="Z14" s="42"/>
      <c r="AA14" s="42"/>
      <c r="AB14" s="42"/>
      <c r="AC14" s="42"/>
      <c r="AD14" s="42"/>
    </row>
    <row r="15" spans="1:30" s="43" customFormat="1" ht="409.5">
      <c r="A15" s="41"/>
      <c r="B15" s="40"/>
      <c r="C15" s="63" t="s">
        <v>173</v>
      </c>
      <c r="D15" s="64" t="s">
        <v>134</v>
      </c>
      <c r="E15" s="64" t="s">
        <v>135</v>
      </c>
      <c r="F15" s="64" t="s">
        <v>220</v>
      </c>
      <c r="G15" s="64" t="s">
        <v>348</v>
      </c>
      <c r="H15" s="64" t="s">
        <v>349</v>
      </c>
      <c r="I15" s="64" t="s">
        <v>350</v>
      </c>
      <c r="J15" s="66" t="s">
        <v>230</v>
      </c>
      <c r="K15" s="66" t="s">
        <v>231</v>
      </c>
      <c r="L15" s="2">
        <f>22205+1158.5-3099.5+20+226.4-362-1375.5</f>
        <v>18772.9</v>
      </c>
      <c r="M15" s="2">
        <v>18303.6</v>
      </c>
      <c r="N15" s="2">
        <v>487</v>
      </c>
      <c r="O15" s="91">
        <f t="shared" si="1"/>
        <v>0</v>
      </c>
      <c r="P15" s="2"/>
      <c r="Q15" s="2"/>
      <c r="R15" s="91">
        <f t="shared" si="2"/>
        <v>0</v>
      </c>
      <c r="S15" s="2"/>
      <c r="T15" s="2"/>
      <c r="U15" s="145">
        <f>V15+W15</f>
        <v>0</v>
      </c>
      <c r="V15" s="2"/>
      <c r="W15" s="2"/>
      <c r="X15" s="41"/>
      <c r="Y15" s="42"/>
      <c r="Z15" s="42"/>
      <c r="AA15" s="42"/>
      <c r="AB15" s="42"/>
      <c r="AC15" s="42"/>
      <c r="AD15" s="42"/>
    </row>
    <row r="16" spans="1:30" s="43" customFormat="1" ht="409.5">
      <c r="A16" s="41"/>
      <c r="B16" s="40"/>
      <c r="C16" s="63" t="s">
        <v>174</v>
      </c>
      <c r="D16" s="64" t="s">
        <v>119</v>
      </c>
      <c r="E16" s="64" t="s">
        <v>120</v>
      </c>
      <c r="F16" s="64" t="s">
        <v>121</v>
      </c>
      <c r="G16" s="64" t="s">
        <v>351</v>
      </c>
      <c r="H16" s="64" t="s">
        <v>352</v>
      </c>
      <c r="I16" s="64" t="s">
        <v>353</v>
      </c>
      <c r="J16" s="66" t="s">
        <v>22</v>
      </c>
      <c r="K16" s="66" t="s">
        <v>122</v>
      </c>
      <c r="L16" s="2">
        <f>4264.9+5684</f>
        <v>9948.9</v>
      </c>
      <c r="M16" s="2">
        <v>9520.3</v>
      </c>
      <c r="N16" s="2">
        <f>3673.9+134.2</f>
        <v>3808.1</v>
      </c>
      <c r="O16" s="91">
        <f t="shared" si="1"/>
        <v>3673.9</v>
      </c>
      <c r="P16" s="2">
        <v>3673.9</v>
      </c>
      <c r="Q16" s="2"/>
      <c r="R16" s="91">
        <f t="shared" si="2"/>
        <v>3673.9</v>
      </c>
      <c r="S16" s="2">
        <v>3673.9</v>
      </c>
      <c r="T16" s="2"/>
      <c r="U16" s="145">
        <f>V16+W16</f>
        <v>3673.9</v>
      </c>
      <c r="V16" s="2">
        <v>3673.9</v>
      </c>
      <c r="W16" s="2"/>
      <c r="X16" s="41"/>
      <c r="Y16" s="42"/>
      <c r="Z16" s="42"/>
      <c r="AA16" s="42"/>
      <c r="AB16" s="42"/>
      <c r="AC16" s="42"/>
      <c r="AD16" s="42"/>
    </row>
    <row r="17" spans="1:30" s="43" customFormat="1" ht="258.75">
      <c r="A17" s="41"/>
      <c r="B17" s="40"/>
      <c r="C17" s="98" t="s">
        <v>254</v>
      </c>
      <c r="D17" s="99" t="s">
        <v>30</v>
      </c>
      <c r="E17" s="99" t="s">
        <v>255</v>
      </c>
      <c r="F17" s="99" t="s">
        <v>216</v>
      </c>
      <c r="G17" s="100" t="s">
        <v>354</v>
      </c>
      <c r="H17" s="100" t="s">
        <v>355</v>
      </c>
      <c r="I17" s="101" t="s">
        <v>356</v>
      </c>
      <c r="J17" s="48" t="s">
        <v>166</v>
      </c>
      <c r="K17" s="101" t="s">
        <v>256</v>
      </c>
      <c r="L17" s="52">
        <v>1</v>
      </c>
      <c r="M17" s="52">
        <v>1</v>
      </c>
      <c r="N17" s="52">
        <v>1</v>
      </c>
      <c r="O17" s="52">
        <v>1</v>
      </c>
      <c r="P17" s="52">
        <v>1</v>
      </c>
      <c r="Q17" s="52">
        <v>0</v>
      </c>
      <c r="R17" s="52">
        <v>1</v>
      </c>
      <c r="S17" s="52">
        <v>1</v>
      </c>
      <c r="T17" s="52">
        <v>0</v>
      </c>
      <c r="U17" s="52">
        <v>1</v>
      </c>
      <c r="V17" s="52">
        <v>1</v>
      </c>
      <c r="W17" s="52">
        <v>0</v>
      </c>
      <c r="X17" s="41"/>
      <c r="Y17" s="42"/>
      <c r="Z17" s="42"/>
      <c r="AA17" s="42"/>
      <c r="AB17" s="42"/>
      <c r="AC17" s="42"/>
      <c r="AD17" s="42"/>
    </row>
    <row r="18" spans="1:30" s="43" customFormat="1" ht="409.5">
      <c r="A18" s="41"/>
      <c r="B18" s="40"/>
      <c r="C18" s="63" t="s">
        <v>175</v>
      </c>
      <c r="D18" s="64" t="s">
        <v>26</v>
      </c>
      <c r="E18" s="64" t="s">
        <v>27</v>
      </c>
      <c r="F18" s="64" t="s">
        <v>28</v>
      </c>
      <c r="G18" s="64" t="s">
        <v>357</v>
      </c>
      <c r="H18" s="64" t="s">
        <v>358</v>
      </c>
      <c r="I18" s="64" t="s">
        <v>359</v>
      </c>
      <c r="J18" s="66" t="s">
        <v>309</v>
      </c>
      <c r="K18" s="66" t="s">
        <v>310</v>
      </c>
      <c r="L18" s="2">
        <f>1113.1+10474.6</f>
        <v>11587.7</v>
      </c>
      <c r="M18" s="2">
        <f>479.4</f>
        <v>479.4</v>
      </c>
      <c r="N18" s="2">
        <f>1521.6+6931.7</f>
        <v>8453.3</v>
      </c>
      <c r="O18" s="91">
        <f t="shared" si="1"/>
        <v>7088</v>
      </c>
      <c r="P18" s="2">
        <f>1521.6+5566.4</f>
        <v>7088</v>
      </c>
      <c r="Q18" s="2"/>
      <c r="R18" s="91">
        <f t="shared" si="2"/>
        <v>15378.9</v>
      </c>
      <c r="S18" s="2">
        <f>1521.6+13857.3</f>
        <v>15378.9</v>
      </c>
      <c r="T18" s="2"/>
      <c r="U18" s="145">
        <f>V18+W18</f>
        <v>15378.9</v>
      </c>
      <c r="V18" s="2">
        <f>1521.6+13857.3</f>
        <v>15378.9</v>
      </c>
      <c r="W18" s="2"/>
      <c r="X18" s="41"/>
      <c r="Y18" s="42"/>
      <c r="Z18" s="42"/>
      <c r="AA18" s="42"/>
      <c r="AB18" s="42"/>
      <c r="AC18" s="42"/>
      <c r="AD18" s="42"/>
    </row>
    <row r="19" spans="1:30" s="43" customFormat="1" ht="384">
      <c r="A19" s="41"/>
      <c r="B19" s="40"/>
      <c r="C19" s="63" t="s">
        <v>176</v>
      </c>
      <c r="D19" s="64" t="s">
        <v>129</v>
      </c>
      <c r="E19" s="64" t="s">
        <v>130</v>
      </c>
      <c r="F19" s="64" t="s">
        <v>131</v>
      </c>
      <c r="G19" s="64" t="s">
        <v>360</v>
      </c>
      <c r="H19" s="64" t="s">
        <v>366</v>
      </c>
      <c r="I19" s="64" t="s">
        <v>361</v>
      </c>
      <c r="J19" s="66" t="s">
        <v>227</v>
      </c>
      <c r="K19" s="66" t="s">
        <v>228</v>
      </c>
      <c r="L19" s="2">
        <f>20.3+1160.2+612.1-612.1</f>
        <v>1180.5</v>
      </c>
      <c r="M19" s="2">
        <v>20.3</v>
      </c>
      <c r="N19" s="2">
        <f>1180.6+139.2</f>
        <v>1319.8</v>
      </c>
      <c r="O19" s="91">
        <f t="shared" si="1"/>
        <v>20.299999999999955</v>
      </c>
      <c r="P19" s="2">
        <f>1180.6-1160.3</f>
        <v>20.299999999999955</v>
      </c>
      <c r="Q19" s="2"/>
      <c r="R19" s="91">
        <f t="shared" si="2"/>
        <v>20.299999999999955</v>
      </c>
      <c r="S19" s="2">
        <f>1180.6-1160.3</f>
        <v>20.299999999999955</v>
      </c>
      <c r="T19" s="2"/>
      <c r="U19" s="145">
        <f>V19+W19</f>
        <v>20.299999999999955</v>
      </c>
      <c r="V19" s="2">
        <f>1180.6-1160.3</f>
        <v>20.299999999999955</v>
      </c>
      <c r="W19" s="2"/>
      <c r="X19" s="41"/>
      <c r="Y19" s="42"/>
      <c r="Z19" s="42"/>
      <c r="AA19" s="42"/>
      <c r="AB19" s="42"/>
      <c r="AC19" s="42"/>
      <c r="AD19" s="42"/>
    </row>
    <row r="20" spans="1:30" s="43" customFormat="1" ht="393.75">
      <c r="A20" s="41"/>
      <c r="B20" s="40"/>
      <c r="C20" s="102" t="s">
        <v>257</v>
      </c>
      <c r="D20" s="99" t="s">
        <v>258</v>
      </c>
      <c r="E20" s="99" t="s">
        <v>259</v>
      </c>
      <c r="F20" s="99" t="s">
        <v>260</v>
      </c>
      <c r="G20" s="103" t="s">
        <v>362</v>
      </c>
      <c r="H20" s="99" t="s">
        <v>363</v>
      </c>
      <c r="I20" s="99" t="s">
        <v>364</v>
      </c>
      <c r="J20" s="104" t="s">
        <v>261</v>
      </c>
      <c r="K20" s="104" t="s">
        <v>262</v>
      </c>
      <c r="L20" s="105">
        <f>66262.9+8503.7+6199.8</f>
        <v>80966.4</v>
      </c>
      <c r="M20" s="52">
        <f>65663+4303.7+6199.8</f>
        <v>76166.5</v>
      </c>
      <c r="N20" s="52">
        <f>162754.2+7249+12299.7</f>
        <v>182302.90000000002</v>
      </c>
      <c r="O20" s="52">
        <f>P20</f>
        <v>108157.2</v>
      </c>
      <c r="P20" s="52">
        <f>99660.5+3049+5447.7</f>
        <v>108157.2</v>
      </c>
      <c r="Q20" s="52">
        <v>0</v>
      </c>
      <c r="R20" s="52">
        <v>66967.4</v>
      </c>
      <c r="S20" s="52">
        <f>66967.4+3049+5447.7</f>
        <v>75464.09999999999</v>
      </c>
      <c r="T20" s="52">
        <v>0</v>
      </c>
      <c r="U20" s="52">
        <v>66967.4</v>
      </c>
      <c r="V20" s="52">
        <f>66967.4+3049+5447.7</f>
        <v>75464.09999999999</v>
      </c>
      <c r="W20" s="52">
        <v>0</v>
      </c>
      <c r="X20" s="41"/>
      <c r="Y20" s="42"/>
      <c r="Z20" s="42"/>
      <c r="AA20" s="42"/>
      <c r="AB20" s="42"/>
      <c r="AC20" s="42"/>
      <c r="AD20" s="42"/>
    </row>
    <row r="21" spans="1:30" s="43" customFormat="1" ht="192">
      <c r="A21" s="41"/>
      <c r="B21" s="40"/>
      <c r="C21" s="67" t="s">
        <v>205</v>
      </c>
      <c r="D21" s="64" t="s">
        <v>222</v>
      </c>
      <c r="E21" s="64" t="s">
        <v>224</v>
      </c>
      <c r="F21" s="64" t="s">
        <v>223</v>
      </c>
      <c r="G21" s="64" t="s">
        <v>365</v>
      </c>
      <c r="H21" s="64" t="s">
        <v>283</v>
      </c>
      <c r="I21" s="64" t="s">
        <v>367</v>
      </c>
      <c r="J21" s="66" t="s">
        <v>23</v>
      </c>
      <c r="K21" s="66" t="s">
        <v>93</v>
      </c>
      <c r="L21" s="2"/>
      <c r="M21" s="2"/>
      <c r="N21" s="2">
        <f>3842.7+2486.9</f>
        <v>6329.6</v>
      </c>
      <c r="O21" s="91">
        <f>P21</f>
        <v>4286.099999999999</v>
      </c>
      <c r="P21" s="2">
        <f>3842.7+443.4</f>
        <v>4286.099999999999</v>
      </c>
      <c r="Q21" s="2"/>
      <c r="R21" s="91">
        <f>S21</f>
        <v>7856.9</v>
      </c>
      <c r="S21" s="2">
        <f>3842.7+443.4+3570.8</f>
        <v>7856.9</v>
      </c>
      <c r="T21" s="2"/>
      <c r="U21" s="145">
        <f>V21</f>
        <v>7856.9</v>
      </c>
      <c r="V21" s="2">
        <f>3842.7+443.4+3570.8</f>
        <v>7856.9</v>
      </c>
      <c r="W21" s="2"/>
      <c r="X21" s="41"/>
      <c r="Y21" s="42"/>
      <c r="Z21" s="42"/>
      <c r="AA21" s="42"/>
      <c r="AB21" s="42"/>
      <c r="AC21" s="42"/>
      <c r="AD21" s="42"/>
    </row>
    <row r="22" spans="1:30" s="43" customFormat="1" ht="216">
      <c r="A22" s="41"/>
      <c r="B22" s="40"/>
      <c r="C22" s="63" t="s">
        <v>177</v>
      </c>
      <c r="D22" s="64" t="s">
        <v>156</v>
      </c>
      <c r="E22" s="64" t="s">
        <v>157</v>
      </c>
      <c r="F22" s="64" t="s">
        <v>219</v>
      </c>
      <c r="G22" s="64" t="s">
        <v>370</v>
      </c>
      <c r="H22" s="64" t="s">
        <v>368</v>
      </c>
      <c r="I22" s="64" t="s">
        <v>369</v>
      </c>
      <c r="J22" s="66" t="s">
        <v>201</v>
      </c>
      <c r="K22" s="66" t="s">
        <v>202</v>
      </c>
      <c r="L22" s="2">
        <f>601.1-0.4</f>
        <v>600.7</v>
      </c>
      <c r="M22" s="2">
        <v>599.8</v>
      </c>
      <c r="N22" s="2">
        <v>602.2</v>
      </c>
      <c r="O22" s="91">
        <f>P22+Q22</f>
        <v>602.2</v>
      </c>
      <c r="P22" s="2">
        <v>602.2</v>
      </c>
      <c r="Q22" s="2"/>
      <c r="R22" s="91">
        <f>S22+T22</f>
        <v>602.2</v>
      </c>
      <c r="S22" s="2">
        <v>602.2</v>
      </c>
      <c r="T22" s="2"/>
      <c r="U22" s="145">
        <f>V22+W22</f>
        <v>602.2</v>
      </c>
      <c r="V22" s="2">
        <v>602.2</v>
      </c>
      <c r="W22" s="2"/>
      <c r="X22" s="41"/>
      <c r="Y22" s="42"/>
      <c r="Z22" s="42"/>
      <c r="AA22" s="42"/>
      <c r="AB22" s="42"/>
      <c r="AC22" s="42"/>
      <c r="AD22" s="42"/>
    </row>
    <row r="23" spans="1:30" s="43" customFormat="1" ht="324">
      <c r="A23" s="41"/>
      <c r="B23" s="40"/>
      <c r="C23" s="63" t="s">
        <v>198</v>
      </c>
      <c r="D23" s="64" t="s">
        <v>30</v>
      </c>
      <c r="E23" s="64" t="s">
        <v>127</v>
      </c>
      <c r="F23" s="64" t="s">
        <v>216</v>
      </c>
      <c r="G23" s="68" t="s">
        <v>371</v>
      </c>
      <c r="H23" s="68" t="s">
        <v>372</v>
      </c>
      <c r="I23" s="187" t="s">
        <v>373</v>
      </c>
      <c r="J23" s="66" t="s">
        <v>232</v>
      </c>
      <c r="K23" s="66" t="s">
        <v>243</v>
      </c>
      <c r="L23" s="2">
        <f>348+153.2-20.8-348</f>
        <v>132.39999999999998</v>
      </c>
      <c r="M23" s="2">
        <f>348+153.2-20.8-348</f>
        <v>132.39999999999998</v>
      </c>
      <c r="N23" s="2"/>
      <c r="O23" s="91">
        <f>P23+Q23</f>
        <v>0</v>
      </c>
      <c r="P23" s="2"/>
      <c r="Q23" s="2"/>
      <c r="R23" s="91">
        <f>S23+T23</f>
        <v>0</v>
      </c>
      <c r="S23" s="2"/>
      <c r="T23" s="2"/>
      <c r="U23" s="145">
        <f>V23+W23</f>
        <v>0</v>
      </c>
      <c r="V23" s="2"/>
      <c r="W23" s="2"/>
      <c r="X23" s="41"/>
      <c r="Y23" s="42"/>
      <c r="Z23" s="42"/>
      <c r="AA23" s="42"/>
      <c r="AB23" s="42"/>
      <c r="AC23" s="42"/>
      <c r="AD23" s="42"/>
    </row>
    <row r="24" spans="1:30" s="43" customFormat="1" ht="240">
      <c r="A24" s="41"/>
      <c r="B24" s="40"/>
      <c r="C24" s="63" t="s">
        <v>322</v>
      </c>
      <c r="D24" s="61" t="s">
        <v>323</v>
      </c>
      <c r="E24" s="61" t="s">
        <v>324</v>
      </c>
      <c r="F24" s="69">
        <v>34697</v>
      </c>
      <c r="G24" s="61" t="s">
        <v>374</v>
      </c>
      <c r="H24" s="188" t="s">
        <v>375</v>
      </c>
      <c r="I24" s="188" t="s">
        <v>376</v>
      </c>
      <c r="J24" s="62" t="s">
        <v>122</v>
      </c>
      <c r="K24" s="62" t="s">
        <v>21</v>
      </c>
      <c r="L24" s="111">
        <v>11415.5</v>
      </c>
      <c r="M24" s="111">
        <v>11415.5</v>
      </c>
      <c r="N24" s="111">
        <v>11283.3</v>
      </c>
      <c r="O24" s="96">
        <v>11283.3</v>
      </c>
      <c r="P24" s="111">
        <f>O24</f>
        <v>11283.3</v>
      </c>
      <c r="Q24" s="111"/>
      <c r="R24" s="96">
        <v>11283.3</v>
      </c>
      <c r="S24" s="111">
        <f>R24</f>
        <v>11283.3</v>
      </c>
      <c r="T24" s="111"/>
      <c r="U24" s="146">
        <v>11283.3</v>
      </c>
      <c r="V24" s="111">
        <f>U24</f>
        <v>11283.3</v>
      </c>
      <c r="W24" s="111"/>
      <c r="X24" s="41"/>
      <c r="Y24" s="42"/>
      <c r="Z24" s="42"/>
      <c r="AA24" s="42"/>
      <c r="AB24" s="42"/>
      <c r="AC24" s="42"/>
      <c r="AD24" s="42"/>
    </row>
    <row r="25" spans="1:30" s="43" customFormat="1" ht="240">
      <c r="A25" s="41"/>
      <c r="B25" s="40"/>
      <c r="C25" s="179" t="s">
        <v>325</v>
      </c>
      <c r="D25" s="151" t="s">
        <v>326</v>
      </c>
      <c r="E25" s="151" t="s">
        <v>327</v>
      </c>
      <c r="F25" s="157">
        <v>37900</v>
      </c>
      <c r="G25" s="188" t="s">
        <v>374</v>
      </c>
      <c r="H25" s="188" t="s">
        <v>375</v>
      </c>
      <c r="I25" s="188" t="s">
        <v>376</v>
      </c>
      <c r="J25" s="155" t="s">
        <v>328</v>
      </c>
      <c r="K25" s="155" t="s">
        <v>329</v>
      </c>
      <c r="L25" s="171">
        <v>150620.7</v>
      </c>
      <c r="M25" s="171">
        <v>148899.1</v>
      </c>
      <c r="N25" s="182">
        <v>28170.3</v>
      </c>
      <c r="O25" s="171">
        <v>25908.7</v>
      </c>
      <c r="P25" s="171">
        <f>O25</f>
        <v>25908.7</v>
      </c>
      <c r="Q25" s="171">
        <v>0</v>
      </c>
      <c r="R25" s="171">
        <v>25938.7</v>
      </c>
      <c r="S25" s="171">
        <f>R25</f>
        <v>25938.7</v>
      </c>
      <c r="T25" s="171">
        <v>0</v>
      </c>
      <c r="U25" s="171">
        <v>25938.7</v>
      </c>
      <c r="V25" s="171">
        <f>U25</f>
        <v>25938.7</v>
      </c>
      <c r="W25" s="171">
        <v>0</v>
      </c>
      <c r="X25" s="41"/>
      <c r="Y25" s="42"/>
      <c r="Z25" s="42"/>
      <c r="AA25" s="42"/>
      <c r="AB25" s="42"/>
      <c r="AC25" s="42"/>
      <c r="AD25" s="42"/>
    </row>
    <row r="26" spans="1:30" s="43" customFormat="1" ht="240">
      <c r="A26" s="41"/>
      <c r="B26" s="40"/>
      <c r="C26" s="180"/>
      <c r="D26" s="158"/>
      <c r="E26" s="158"/>
      <c r="F26" s="158"/>
      <c r="G26" s="188" t="s">
        <v>374</v>
      </c>
      <c r="H26" s="188" t="s">
        <v>375</v>
      </c>
      <c r="I26" s="188" t="s">
        <v>376</v>
      </c>
      <c r="J26" s="181"/>
      <c r="K26" s="181"/>
      <c r="L26" s="173"/>
      <c r="M26" s="173"/>
      <c r="N26" s="183"/>
      <c r="O26" s="173"/>
      <c r="P26" s="173"/>
      <c r="Q26" s="173"/>
      <c r="R26" s="173"/>
      <c r="S26" s="173"/>
      <c r="T26" s="173"/>
      <c r="U26" s="173"/>
      <c r="V26" s="173"/>
      <c r="W26" s="173"/>
      <c r="X26" s="41"/>
      <c r="Y26" s="42"/>
      <c r="Z26" s="42"/>
      <c r="AA26" s="42"/>
      <c r="AB26" s="42"/>
      <c r="AC26" s="42"/>
      <c r="AD26" s="42"/>
    </row>
    <row r="27" spans="1:30" s="43" customFormat="1" ht="409.5">
      <c r="A27" s="41"/>
      <c r="B27" s="40"/>
      <c r="C27" s="148" t="s">
        <v>334</v>
      </c>
      <c r="D27" s="64" t="s">
        <v>335</v>
      </c>
      <c r="E27" s="64" t="s">
        <v>336</v>
      </c>
      <c r="F27" s="64" t="s">
        <v>337</v>
      </c>
      <c r="G27" s="64" t="s">
        <v>377</v>
      </c>
      <c r="H27" s="64" t="s">
        <v>378</v>
      </c>
      <c r="I27" s="64" t="s">
        <v>379</v>
      </c>
      <c r="J27" s="149" t="s">
        <v>338</v>
      </c>
      <c r="K27" s="149" t="s">
        <v>339</v>
      </c>
      <c r="L27" s="122">
        <f>294.4+810.8</f>
        <v>1105.1999999999998</v>
      </c>
      <c r="M27" s="122">
        <f>294.4+810.8</f>
        <v>1105.1999999999998</v>
      </c>
      <c r="N27" s="122">
        <f>229.7+1210.8</f>
        <v>1440.5</v>
      </c>
      <c r="O27" s="122">
        <f>P27</f>
        <v>1386.3999999999999</v>
      </c>
      <c r="P27" s="122">
        <f>175.6+1210.8</f>
        <v>1386.3999999999999</v>
      </c>
      <c r="Q27" s="122"/>
      <c r="R27" s="122">
        <f>S27</f>
        <v>1278.3</v>
      </c>
      <c r="S27" s="122">
        <f>67.5+1210.8</f>
        <v>1278.3</v>
      </c>
      <c r="T27" s="122"/>
      <c r="U27" s="122">
        <f>V27</f>
        <v>1278.3</v>
      </c>
      <c r="V27" s="122">
        <f>67.5+1210.8</f>
        <v>1278.3</v>
      </c>
      <c r="W27" s="122"/>
      <c r="X27" s="41"/>
      <c r="Y27" s="42"/>
      <c r="Z27" s="42"/>
      <c r="AA27" s="42"/>
      <c r="AB27" s="42"/>
      <c r="AC27" s="42"/>
      <c r="AD27" s="42"/>
    </row>
    <row r="28" spans="1:30" s="43" customFormat="1" ht="228">
      <c r="A28" s="41"/>
      <c r="B28" s="40"/>
      <c r="C28" s="67" t="s">
        <v>317</v>
      </c>
      <c r="D28" s="64" t="s">
        <v>318</v>
      </c>
      <c r="E28" s="64" t="s">
        <v>319</v>
      </c>
      <c r="F28" s="64" t="s">
        <v>320</v>
      </c>
      <c r="G28" s="188" t="s">
        <v>380</v>
      </c>
      <c r="H28" s="188" t="s">
        <v>381</v>
      </c>
      <c r="I28" s="188" t="s">
        <v>382</v>
      </c>
      <c r="J28" s="62" t="s">
        <v>321</v>
      </c>
      <c r="K28" s="62" t="s">
        <v>25</v>
      </c>
      <c r="L28" s="111">
        <v>26802.9</v>
      </c>
      <c r="M28" s="111">
        <v>26759.2</v>
      </c>
      <c r="N28" s="2">
        <v>16790.7</v>
      </c>
      <c r="O28" s="95">
        <v>16790.7</v>
      </c>
      <c r="P28" s="2">
        <f>O28</f>
        <v>16790.7</v>
      </c>
      <c r="Q28" s="2"/>
      <c r="R28" s="95">
        <v>16790.7</v>
      </c>
      <c r="S28" s="2">
        <f>R28</f>
        <v>16790.7</v>
      </c>
      <c r="T28" s="2"/>
      <c r="U28" s="145">
        <v>16790.7</v>
      </c>
      <c r="V28" s="2">
        <f>U28</f>
        <v>16790.7</v>
      </c>
      <c r="W28" s="2"/>
      <c r="X28" s="41"/>
      <c r="Y28" s="42"/>
      <c r="Z28" s="42"/>
      <c r="AA28" s="42"/>
      <c r="AB28" s="42"/>
      <c r="AC28" s="42"/>
      <c r="AD28" s="42"/>
    </row>
    <row r="29" spans="1:30" s="43" customFormat="1" ht="409.5">
      <c r="A29" s="41"/>
      <c r="B29" s="40"/>
      <c r="C29" s="63" t="s">
        <v>178</v>
      </c>
      <c r="D29" s="64" t="s">
        <v>167</v>
      </c>
      <c r="E29" s="64" t="s">
        <v>168</v>
      </c>
      <c r="F29" s="64" t="s">
        <v>169</v>
      </c>
      <c r="G29" s="64" t="s">
        <v>383</v>
      </c>
      <c r="H29" s="65" t="s">
        <v>384</v>
      </c>
      <c r="I29" s="65" t="s">
        <v>385</v>
      </c>
      <c r="J29" s="70" t="s">
        <v>311</v>
      </c>
      <c r="K29" s="71" t="s">
        <v>312</v>
      </c>
      <c r="L29" s="2">
        <f>806.4+10</f>
        <v>816.4</v>
      </c>
      <c r="M29" s="2">
        <f>806.4+3.2</f>
        <v>809.6</v>
      </c>
      <c r="N29" s="2">
        <f>1046+36.7+2.5</f>
        <v>1085.2</v>
      </c>
      <c r="O29" s="91">
        <f>P29+Q29</f>
        <v>1096.5</v>
      </c>
      <c r="P29" s="2">
        <f>1046+48+2.5</f>
        <v>1096.5</v>
      </c>
      <c r="Q29" s="2"/>
      <c r="R29" s="91">
        <f>S29+T29</f>
        <v>1065.9</v>
      </c>
      <c r="S29" s="2">
        <f>1046+48-30.6+2.5</f>
        <v>1065.9</v>
      </c>
      <c r="T29" s="2"/>
      <c r="U29" s="145">
        <f>V29+W29</f>
        <v>1065.9</v>
      </c>
      <c r="V29" s="2">
        <f>1046+48-30.6+2.5</f>
        <v>1065.9</v>
      </c>
      <c r="W29" s="2"/>
      <c r="X29" s="41"/>
      <c r="Y29" s="42"/>
      <c r="Z29" s="42"/>
      <c r="AA29" s="42"/>
      <c r="AB29" s="42"/>
      <c r="AC29" s="42"/>
      <c r="AD29" s="42"/>
    </row>
    <row r="30" spans="1:30" s="43" customFormat="1" ht="360">
      <c r="A30" s="41"/>
      <c r="B30" s="40"/>
      <c r="C30" s="63" t="s">
        <v>238</v>
      </c>
      <c r="D30" s="64" t="s">
        <v>233</v>
      </c>
      <c r="E30" s="64" t="s">
        <v>234</v>
      </c>
      <c r="F30" s="64" t="s">
        <v>235</v>
      </c>
      <c r="G30" s="64" t="s">
        <v>386</v>
      </c>
      <c r="H30" s="64" t="s">
        <v>387</v>
      </c>
      <c r="I30" s="64" t="s">
        <v>388</v>
      </c>
      <c r="J30" s="66" t="s">
        <v>236</v>
      </c>
      <c r="K30" s="66" t="s">
        <v>237</v>
      </c>
      <c r="L30" s="2">
        <v>295</v>
      </c>
      <c r="M30" s="2"/>
      <c r="N30" s="2">
        <v>596.3</v>
      </c>
      <c r="O30" s="91"/>
      <c r="P30" s="2"/>
      <c r="Q30" s="2"/>
      <c r="R30" s="91"/>
      <c r="S30" s="2"/>
      <c r="T30" s="2"/>
      <c r="U30" s="145"/>
      <c r="V30" s="2"/>
      <c r="W30" s="2"/>
      <c r="X30" s="41"/>
      <c r="Y30" s="42"/>
      <c r="Z30" s="42"/>
      <c r="AA30" s="42"/>
      <c r="AB30" s="42"/>
      <c r="AC30" s="42"/>
      <c r="AD30" s="42"/>
    </row>
    <row r="31" spans="1:30" s="43" customFormat="1" ht="204">
      <c r="A31" s="41"/>
      <c r="B31" s="40"/>
      <c r="C31" s="63" t="s">
        <v>226</v>
      </c>
      <c r="D31" s="64"/>
      <c r="E31" s="64"/>
      <c r="F31" s="64"/>
      <c r="G31" s="64" t="s">
        <v>389</v>
      </c>
      <c r="H31" s="65" t="s">
        <v>390</v>
      </c>
      <c r="I31" s="65" t="s">
        <v>392</v>
      </c>
      <c r="J31" s="71" t="s">
        <v>244</v>
      </c>
      <c r="K31" s="71" t="s">
        <v>245</v>
      </c>
      <c r="L31" s="2">
        <f>273+13410.9-20+40.8+3150+19980-4353.5</f>
        <v>32481.199999999997</v>
      </c>
      <c r="M31" s="2">
        <v>29768.4</v>
      </c>
      <c r="N31" s="2">
        <f>7706.5+329.1</f>
        <v>8035.6</v>
      </c>
      <c r="O31" s="91">
        <f>P31+Q31</f>
        <v>0</v>
      </c>
      <c r="P31" s="2"/>
      <c r="Q31" s="2"/>
      <c r="R31" s="91">
        <f>S31+T31</f>
        <v>0</v>
      </c>
      <c r="S31" s="2"/>
      <c r="T31" s="2"/>
      <c r="U31" s="145">
        <f>V31+W31</f>
        <v>0</v>
      </c>
      <c r="V31" s="2"/>
      <c r="W31" s="2"/>
      <c r="X31" s="41"/>
      <c r="Y31" s="42"/>
      <c r="Z31" s="42"/>
      <c r="AA31" s="42"/>
      <c r="AB31" s="42"/>
      <c r="AC31" s="42"/>
      <c r="AD31" s="42"/>
    </row>
    <row r="32" spans="1:30" s="43" customFormat="1" ht="96">
      <c r="A32" s="41"/>
      <c r="B32" s="40"/>
      <c r="C32" s="67" t="s">
        <v>246</v>
      </c>
      <c r="D32" s="64" t="s">
        <v>36</v>
      </c>
      <c r="E32" s="64" t="s">
        <v>240</v>
      </c>
      <c r="F32" s="64" t="s">
        <v>239</v>
      </c>
      <c r="G32" s="64" t="s">
        <v>394</v>
      </c>
      <c r="H32" s="64" t="s">
        <v>391</v>
      </c>
      <c r="I32" s="73" t="s">
        <v>393</v>
      </c>
      <c r="J32" s="72" t="s">
        <v>24</v>
      </c>
      <c r="K32" s="72" t="s">
        <v>25</v>
      </c>
      <c r="L32" s="2"/>
      <c r="M32" s="2"/>
      <c r="N32" s="2">
        <v>3.8</v>
      </c>
      <c r="O32" s="91">
        <f>P32</f>
        <v>3.8</v>
      </c>
      <c r="P32" s="2">
        <v>3.8</v>
      </c>
      <c r="Q32" s="2"/>
      <c r="R32" s="91">
        <f>S32</f>
        <v>3.8</v>
      </c>
      <c r="S32" s="2">
        <v>3.8</v>
      </c>
      <c r="T32" s="2"/>
      <c r="U32" s="145">
        <f>V32</f>
        <v>3.8</v>
      </c>
      <c r="V32" s="2">
        <v>3.8</v>
      </c>
      <c r="W32" s="2"/>
      <c r="X32" s="41"/>
      <c r="Y32" s="42"/>
      <c r="Z32" s="42"/>
      <c r="AA32" s="42"/>
      <c r="AB32" s="42"/>
      <c r="AC32" s="42"/>
      <c r="AD32" s="42"/>
    </row>
    <row r="33" spans="1:30" s="43" customFormat="1" ht="127.5">
      <c r="A33" s="41"/>
      <c r="B33" s="53"/>
      <c r="C33" s="74" t="s">
        <v>179</v>
      </c>
      <c r="D33" s="61" t="s">
        <v>19</v>
      </c>
      <c r="E33" s="61" t="s">
        <v>19</v>
      </c>
      <c r="F33" s="61" t="s">
        <v>19</v>
      </c>
      <c r="G33" s="61" t="s">
        <v>19</v>
      </c>
      <c r="H33" s="61" t="s">
        <v>19</v>
      </c>
      <c r="I33" s="61" t="s">
        <v>19</v>
      </c>
      <c r="J33" s="62" t="s">
        <v>19</v>
      </c>
      <c r="K33" s="62" t="s">
        <v>19</v>
      </c>
      <c r="L33" s="44">
        <f>SUM(L34:L40)</f>
        <v>91566.4</v>
      </c>
      <c r="M33" s="44">
        <f>SUM(M34:M40)</f>
        <v>88821.3</v>
      </c>
      <c r="N33" s="44">
        <f>SUM(N34:N40)</f>
        <v>94467.19999999998</v>
      </c>
      <c r="O33" s="91">
        <f>P33+Q33</f>
        <v>94243.8</v>
      </c>
      <c r="P33" s="44">
        <f>SUM(P34:P40)</f>
        <v>94243.8</v>
      </c>
      <c r="Q33" s="44">
        <f>SUM(Q34:Q40)</f>
        <v>0</v>
      </c>
      <c r="R33" s="91">
        <f>S33+T33</f>
        <v>91173.4</v>
      </c>
      <c r="S33" s="44">
        <f>SUM(S34:S40)</f>
        <v>91173.4</v>
      </c>
      <c r="T33" s="44">
        <f>SUM(T34:T40)</f>
        <v>0</v>
      </c>
      <c r="U33" s="145">
        <f>V33+W33</f>
        <v>91173.4</v>
      </c>
      <c r="V33" s="44">
        <f>SUM(V34:V40)</f>
        <v>91173.4</v>
      </c>
      <c r="W33" s="44">
        <f>SUM(W34:W40)</f>
        <v>0</v>
      </c>
      <c r="X33" s="41"/>
      <c r="Y33" s="42"/>
      <c r="Z33" s="42"/>
      <c r="AA33" s="42"/>
      <c r="AB33" s="42"/>
      <c r="AC33" s="42"/>
      <c r="AD33" s="42"/>
    </row>
    <row r="34" spans="1:30" s="43" customFormat="1" ht="264">
      <c r="A34" s="41"/>
      <c r="B34" s="40"/>
      <c r="C34" s="63" t="s">
        <v>180</v>
      </c>
      <c r="D34" s="64" t="s">
        <v>34</v>
      </c>
      <c r="E34" s="64" t="s">
        <v>35</v>
      </c>
      <c r="F34" s="64" t="s">
        <v>218</v>
      </c>
      <c r="G34" s="64" t="s">
        <v>395</v>
      </c>
      <c r="H34" s="64" t="s">
        <v>396</v>
      </c>
      <c r="I34" s="64" t="s">
        <v>397</v>
      </c>
      <c r="J34" s="62" t="s">
        <v>332</v>
      </c>
      <c r="K34" s="62" t="s">
        <v>333</v>
      </c>
      <c r="L34" s="2">
        <f>34107.9+68+11.5+1180.5+1170.6</f>
        <v>36538.5</v>
      </c>
      <c r="M34" s="2">
        <f>32402.5+68+11.5+1178.1+1165.4</f>
        <v>34825.5</v>
      </c>
      <c r="N34" s="2">
        <f>33747.5+2031.1+1227+1224.7</f>
        <v>38230.299999999996</v>
      </c>
      <c r="O34" s="91">
        <f>P34+Q34</f>
        <v>38534.5</v>
      </c>
      <c r="P34" s="2">
        <f>30838.7+2031.1+4440+1224.7</f>
        <v>38534.5</v>
      </c>
      <c r="Q34" s="2"/>
      <c r="R34" s="91">
        <f>S34+T34</f>
        <v>35471.7</v>
      </c>
      <c r="S34" s="2">
        <f>30988.3+2031.7+1227+1224.7</f>
        <v>35471.7</v>
      </c>
      <c r="T34" s="2"/>
      <c r="U34" s="145">
        <f>V34+W34</f>
        <v>35471.7</v>
      </c>
      <c r="V34" s="2">
        <f>30988.3+2031.7+1227+1224.7</f>
        <v>35471.7</v>
      </c>
      <c r="W34" s="2"/>
      <c r="X34" s="41"/>
      <c r="Y34" s="42"/>
      <c r="Z34" s="42"/>
      <c r="AA34" s="42"/>
      <c r="AB34" s="42"/>
      <c r="AC34" s="42"/>
      <c r="AD34" s="42"/>
    </row>
    <row r="35" spans="1:30" s="43" customFormat="1" ht="300">
      <c r="A35" s="41"/>
      <c r="B35" s="40"/>
      <c r="C35" s="63" t="s">
        <v>181</v>
      </c>
      <c r="D35" s="64" t="s">
        <v>38</v>
      </c>
      <c r="E35" s="64" t="s">
        <v>39</v>
      </c>
      <c r="F35" s="64" t="s">
        <v>215</v>
      </c>
      <c r="G35" s="68" t="s">
        <v>398</v>
      </c>
      <c r="H35" s="68" t="s">
        <v>399</v>
      </c>
      <c r="I35" s="187" t="s">
        <v>400</v>
      </c>
      <c r="J35" s="62" t="s">
        <v>330</v>
      </c>
      <c r="K35" s="62" t="s">
        <v>331</v>
      </c>
      <c r="L35" s="2">
        <f>14054.3+21674.5+2111.5+14882</f>
        <v>52722.3</v>
      </c>
      <c r="M35" s="2">
        <f>13565.2+21516.5+2036.8+14572.2-0.1</f>
        <v>51690.6</v>
      </c>
      <c r="N35" s="2">
        <f>13024.5+22062.6+2240.8+14739.9+0.2</f>
        <v>52068</v>
      </c>
      <c r="O35" s="91">
        <f>P35+Q35</f>
        <v>51597.7</v>
      </c>
      <c r="P35" s="2">
        <f>13016.5+21592.6+2240.8+14747.8</f>
        <v>51597.7</v>
      </c>
      <c r="Q35" s="2"/>
      <c r="R35" s="91">
        <f>S35+T35</f>
        <v>51594.7</v>
      </c>
      <c r="S35" s="2">
        <f>13013.5+21592.6+2240.8+14747.8</f>
        <v>51594.7</v>
      </c>
      <c r="T35" s="2"/>
      <c r="U35" s="145">
        <f>V35+W35</f>
        <v>51594.7</v>
      </c>
      <c r="V35" s="2">
        <f>13013.5+21592.6+2240.8+14747.8</f>
        <v>51594.7</v>
      </c>
      <c r="W35" s="2"/>
      <c r="X35" s="41"/>
      <c r="Y35" s="42"/>
      <c r="Z35" s="42"/>
      <c r="AA35" s="42"/>
      <c r="AB35" s="42"/>
      <c r="AC35" s="42"/>
      <c r="AD35" s="42"/>
    </row>
    <row r="36" spans="1:30" s="43" customFormat="1" ht="300">
      <c r="A36" s="41"/>
      <c r="B36" s="40"/>
      <c r="C36" s="63" t="s">
        <v>182</v>
      </c>
      <c r="D36" s="64" t="s">
        <v>152</v>
      </c>
      <c r="E36" s="64" t="s">
        <v>153</v>
      </c>
      <c r="F36" s="64" t="s">
        <v>217</v>
      </c>
      <c r="G36" s="64" t="s">
        <v>401</v>
      </c>
      <c r="H36" s="64" t="s">
        <v>402</v>
      </c>
      <c r="I36" s="64" t="s">
        <v>403</v>
      </c>
      <c r="J36" s="62" t="s">
        <v>126</v>
      </c>
      <c r="K36" s="62" t="s">
        <v>93</v>
      </c>
      <c r="L36" s="2">
        <f>1811.5+390.9+30</f>
        <v>2232.4</v>
      </c>
      <c r="M36" s="2">
        <f>1811.5+390.9+30</f>
        <v>2232.4</v>
      </c>
      <c r="N36" s="2">
        <v>4035</v>
      </c>
      <c r="O36" s="91">
        <f>P36+Q36</f>
        <v>4035</v>
      </c>
      <c r="P36" s="2">
        <v>4035</v>
      </c>
      <c r="Q36" s="2"/>
      <c r="R36" s="91">
        <f>S36+T36</f>
        <v>4035</v>
      </c>
      <c r="S36" s="2">
        <v>4035</v>
      </c>
      <c r="T36" s="2"/>
      <c r="U36" s="145">
        <f>V36+W36</f>
        <v>4035</v>
      </c>
      <c r="V36" s="2">
        <v>4035</v>
      </c>
      <c r="W36" s="2"/>
      <c r="X36" s="41"/>
      <c r="Y36" s="42"/>
      <c r="Z36" s="42"/>
      <c r="AA36" s="42"/>
      <c r="AB36" s="42"/>
      <c r="AC36" s="42"/>
      <c r="AD36" s="42"/>
    </row>
    <row r="37" spans="1:30" s="43" customFormat="1" ht="204">
      <c r="A37" s="41"/>
      <c r="B37" s="40"/>
      <c r="C37" s="63" t="s">
        <v>183</v>
      </c>
      <c r="D37" s="64" t="s">
        <v>29</v>
      </c>
      <c r="E37" s="64" t="s">
        <v>158</v>
      </c>
      <c r="F37" s="64" t="s">
        <v>218</v>
      </c>
      <c r="G37" s="65" t="s">
        <v>404</v>
      </c>
      <c r="H37" s="65" t="s">
        <v>405</v>
      </c>
      <c r="I37" s="65" t="s">
        <v>406</v>
      </c>
      <c r="J37" s="62" t="s">
        <v>196</v>
      </c>
      <c r="K37" s="62" t="s">
        <v>197</v>
      </c>
      <c r="L37" s="2">
        <f>70.7+2.5</f>
        <v>73.2</v>
      </c>
      <c r="M37" s="2">
        <f>70.3+2.5</f>
        <v>72.8</v>
      </c>
      <c r="N37" s="2">
        <f>121.9+12</f>
        <v>133.9</v>
      </c>
      <c r="O37" s="91">
        <f>P37+Q37</f>
        <v>76.6</v>
      </c>
      <c r="P37" s="2">
        <f>74+2.6</f>
        <v>76.6</v>
      </c>
      <c r="Q37" s="2"/>
      <c r="R37" s="91">
        <f>S37+T37</f>
        <v>72</v>
      </c>
      <c r="S37" s="2">
        <f>68+4</f>
        <v>72</v>
      </c>
      <c r="T37" s="2"/>
      <c r="U37" s="145">
        <f>V37+W37</f>
        <v>72</v>
      </c>
      <c r="V37" s="2">
        <f>68+4</f>
        <v>72</v>
      </c>
      <c r="W37" s="2"/>
      <c r="X37" s="41"/>
      <c r="Y37" s="42"/>
      <c r="Z37" s="42"/>
      <c r="AA37" s="42"/>
      <c r="AB37" s="42"/>
      <c r="AC37" s="42"/>
      <c r="AD37" s="42"/>
    </row>
    <row r="38" spans="1:30" s="43" customFormat="1" ht="12.75">
      <c r="A38" s="41"/>
      <c r="B38" s="40"/>
      <c r="C38" s="63" t="s">
        <v>7</v>
      </c>
      <c r="D38" s="75"/>
      <c r="E38" s="75"/>
      <c r="F38" s="75"/>
      <c r="G38" s="61"/>
      <c r="H38" s="61"/>
      <c r="I38" s="61"/>
      <c r="J38" s="62"/>
      <c r="K38" s="62"/>
      <c r="L38" s="2"/>
      <c r="M38" s="2"/>
      <c r="N38" s="2"/>
      <c r="O38" s="2"/>
      <c r="P38" s="2"/>
      <c r="Q38" s="2"/>
      <c r="R38" s="2"/>
      <c r="S38" s="2"/>
      <c r="T38" s="2"/>
      <c r="U38" s="2"/>
      <c r="V38" s="2"/>
      <c r="W38" s="2"/>
      <c r="X38" s="41"/>
      <c r="Y38" s="42"/>
      <c r="Z38" s="42"/>
      <c r="AA38" s="42"/>
      <c r="AB38" s="42"/>
      <c r="AC38" s="42"/>
      <c r="AD38" s="42"/>
    </row>
    <row r="39" spans="1:30" s="43" customFormat="1" ht="12.75">
      <c r="A39" s="41"/>
      <c r="B39" s="40"/>
      <c r="C39" s="76" t="s">
        <v>7</v>
      </c>
      <c r="D39" s="75"/>
      <c r="E39" s="75"/>
      <c r="F39" s="75"/>
      <c r="G39" s="61"/>
      <c r="H39" s="61"/>
      <c r="I39" s="61"/>
      <c r="J39" s="62"/>
      <c r="K39" s="62"/>
      <c r="L39" s="2"/>
      <c r="M39" s="2"/>
      <c r="N39" s="2"/>
      <c r="O39" s="2"/>
      <c r="P39" s="2"/>
      <c r="Q39" s="2"/>
      <c r="R39" s="2"/>
      <c r="S39" s="2"/>
      <c r="T39" s="2"/>
      <c r="U39" s="2"/>
      <c r="V39" s="2"/>
      <c r="W39" s="2"/>
      <c r="X39" s="41"/>
      <c r="Y39" s="42"/>
      <c r="Z39" s="42"/>
      <c r="AA39" s="42"/>
      <c r="AB39" s="42"/>
      <c r="AC39" s="42"/>
      <c r="AD39" s="42"/>
    </row>
    <row r="40" spans="1:30" s="43" customFormat="1" ht="12.75">
      <c r="A40" s="41"/>
      <c r="B40" s="40"/>
      <c r="C40" s="76" t="s">
        <v>7</v>
      </c>
      <c r="D40" s="75"/>
      <c r="E40" s="75"/>
      <c r="F40" s="75"/>
      <c r="G40" s="61"/>
      <c r="H40" s="61"/>
      <c r="I40" s="61"/>
      <c r="J40" s="62"/>
      <c r="K40" s="62"/>
      <c r="L40" s="2"/>
      <c r="M40" s="2"/>
      <c r="N40" s="2"/>
      <c r="O40" s="2"/>
      <c r="P40" s="2"/>
      <c r="Q40" s="2"/>
      <c r="R40" s="2"/>
      <c r="S40" s="2"/>
      <c r="T40" s="2"/>
      <c r="U40" s="2"/>
      <c r="V40" s="2"/>
      <c r="W40" s="2"/>
      <c r="X40" s="41"/>
      <c r="Y40" s="42"/>
      <c r="Z40" s="42"/>
      <c r="AA40" s="42"/>
      <c r="AB40" s="42"/>
      <c r="AC40" s="42"/>
      <c r="AD40" s="42"/>
    </row>
    <row r="41" spans="1:30" s="43" customFormat="1" ht="12.75">
      <c r="A41" s="41"/>
      <c r="B41" s="168"/>
      <c r="C41" s="169" t="s">
        <v>184</v>
      </c>
      <c r="D41" s="151" t="s">
        <v>19</v>
      </c>
      <c r="E41" s="151" t="s">
        <v>19</v>
      </c>
      <c r="F41" s="151" t="s">
        <v>19</v>
      </c>
      <c r="G41" s="151" t="s">
        <v>19</v>
      </c>
      <c r="H41" s="151" t="s">
        <v>19</v>
      </c>
      <c r="I41" s="151" t="s">
        <v>19</v>
      </c>
      <c r="J41" s="155" t="s">
        <v>19</v>
      </c>
      <c r="K41" s="155" t="s">
        <v>19</v>
      </c>
      <c r="L41" s="171">
        <f>L43</f>
        <v>151962.29999999996</v>
      </c>
      <c r="M41" s="171">
        <f>M43</f>
        <v>146508.3</v>
      </c>
      <c r="N41" s="171">
        <f>N43</f>
        <v>164736.5</v>
      </c>
      <c r="O41" s="162">
        <f>P41+Q41</f>
        <v>162583.19999999998</v>
      </c>
      <c r="P41" s="171">
        <f>P43</f>
        <v>162583.19999999998</v>
      </c>
      <c r="Q41" s="171">
        <f>Q43</f>
        <v>0</v>
      </c>
      <c r="R41" s="162">
        <f>S41+T41</f>
        <v>163379.2</v>
      </c>
      <c r="S41" s="171">
        <f>S43</f>
        <v>163379.2</v>
      </c>
      <c r="T41" s="171">
        <f>T43</f>
        <v>0</v>
      </c>
      <c r="U41" s="162">
        <f>V41+W41</f>
        <v>163379.2</v>
      </c>
      <c r="V41" s="171">
        <f>V43</f>
        <v>163379.2</v>
      </c>
      <c r="W41" s="171">
        <f>W43</f>
        <v>0</v>
      </c>
      <c r="X41" s="45"/>
      <c r="Y41" s="42"/>
      <c r="Z41" s="42"/>
      <c r="AA41" s="42"/>
      <c r="AB41" s="42"/>
      <c r="AC41" s="42"/>
      <c r="AD41" s="42"/>
    </row>
    <row r="42" spans="1:30" s="43" customFormat="1" ht="12.75">
      <c r="A42" s="41"/>
      <c r="B42" s="168"/>
      <c r="C42" s="170"/>
      <c r="D42" s="152"/>
      <c r="E42" s="152"/>
      <c r="F42" s="152"/>
      <c r="G42" s="152"/>
      <c r="H42" s="152"/>
      <c r="I42" s="152"/>
      <c r="J42" s="156"/>
      <c r="K42" s="156"/>
      <c r="L42" s="172"/>
      <c r="M42" s="172"/>
      <c r="N42" s="172"/>
      <c r="O42" s="163"/>
      <c r="P42" s="172"/>
      <c r="Q42" s="172"/>
      <c r="R42" s="163"/>
      <c r="S42" s="172"/>
      <c r="T42" s="172"/>
      <c r="U42" s="163"/>
      <c r="V42" s="172"/>
      <c r="W42" s="172"/>
      <c r="X42" s="45"/>
      <c r="Y42" s="42"/>
      <c r="Z42" s="42"/>
      <c r="AA42" s="42"/>
      <c r="AB42" s="42"/>
      <c r="AC42" s="42"/>
      <c r="AD42" s="42"/>
    </row>
    <row r="43" spans="1:30" s="43" customFormat="1" ht="33.75">
      <c r="A43" s="41"/>
      <c r="B43" s="40"/>
      <c r="C43" s="60" t="s">
        <v>214</v>
      </c>
      <c r="D43" s="61" t="s">
        <v>19</v>
      </c>
      <c r="E43" s="61" t="s">
        <v>19</v>
      </c>
      <c r="F43" s="61" t="s">
        <v>19</v>
      </c>
      <c r="G43" s="61" t="s">
        <v>19</v>
      </c>
      <c r="H43" s="61" t="s">
        <v>19</v>
      </c>
      <c r="I43" s="61" t="s">
        <v>19</v>
      </c>
      <c r="J43" s="62" t="s">
        <v>19</v>
      </c>
      <c r="K43" s="62" t="s">
        <v>19</v>
      </c>
      <c r="L43" s="2">
        <f>SUM(L45:L74)</f>
        <v>151962.29999999996</v>
      </c>
      <c r="M43" s="2">
        <f aca="true" t="shared" si="3" ref="M43:T43">SUM(M45:M74)</f>
        <v>146508.3</v>
      </c>
      <c r="N43" s="2">
        <f t="shared" si="3"/>
        <v>164736.5</v>
      </c>
      <c r="O43" s="2">
        <f t="shared" si="3"/>
        <v>162583.19999999998</v>
      </c>
      <c r="P43" s="2">
        <f t="shared" si="3"/>
        <v>162583.19999999998</v>
      </c>
      <c r="Q43" s="2">
        <f t="shared" si="3"/>
        <v>0</v>
      </c>
      <c r="R43" s="2">
        <f t="shared" si="3"/>
        <v>163379.2</v>
      </c>
      <c r="S43" s="2">
        <f t="shared" si="3"/>
        <v>163379.2</v>
      </c>
      <c r="T43" s="2">
        <f t="shared" si="3"/>
        <v>0</v>
      </c>
      <c r="U43" s="2">
        <f>SUM(U45:U74)</f>
        <v>163379.2</v>
      </c>
      <c r="V43" s="2">
        <f>SUM(V45:V74)</f>
        <v>163379.2</v>
      </c>
      <c r="W43" s="2">
        <f>SUM(W45:W74)</f>
        <v>0</v>
      </c>
      <c r="X43" s="45"/>
      <c r="Y43" s="42"/>
      <c r="Z43" s="42"/>
      <c r="AA43" s="42"/>
      <c r="AB43" s="42"/>
      <c r="AC43" s="42"/>
      <c r="AD43" s="42"/>
    </row>
    <row r="44" spans="1:30" s="43" customFormat="1" ht="12.75">
      <c r="A44" s="41"/>
      <c r="B44" s="40"/>
      <c r="C44" s="40" t="s">
        <v>171</v>
      </c>
      <c r="D44" s="61"/>
      <c r="E44" s="61"/>
      <c r="F44" s="61"/>
      <c r="G44" s="61"/>
      <c r="H44" s="61"/>
      <c r="I44" s="61"/>
      <c r="J44" s="62"/>
      <c r="K44" s="62"/>
      <c r="L44" s="2"/>
      <c r="M44" s="2"/>
      <c r="N44" s="2"/>
      <c r="O44" s="91"/>
      <c r="P44" s="2"/>
      <c r="Q44" s="2"/>
      <c r="R44" s="91"/>
      <c r="S44" s="2"/>
      <c r="T44" s="2"/>
      <c r="U44" s="145"/>
      <c r="V44" s="2"/>
      <c r="W44" s="2"/>
      <c r="X44" s="45"/>
      <c r="Y44" s="42"/>
      <c r="Z44" s="42"/>
      <c r="AA44" s="42"/>
      <c r="AB44" s="42"/>
      <c r="AC44" s="42"/>
      <c r="AD44" s="42"/>
    </row>
    <row r="45" spans="1:30" s="43" customFormat="1" ht="393.75">
      <c r="A45" s="41"/>
      <c r="B45" s="40"/>
      <c r="C45" s="98" t="s">
        <v>263</v>
      </c>
      <c r="D45" s="99" t="s">
        <v>161</v>
      </c>
      <c r="E45" s="99" t="s">
        <v>162</v>
      </c>
      <c r="F45" s="99" t="s">
        <v>163</v>
      </c>
      <c r="G45" s="99" t="s">
        <v>407</v>
      </c>
      <c r="H45" s="189" t="s">
        <v>408</v>
      </c>
      <c r="I45" s="99" t="s">
        <v>409</v>
      </c>
      <c r="J45" s="104" t="s">
        <v>166</v>
      </c>
      <c r="K45" s="104" t="s">
        <v>21</v>
      </c>
      <c r="L45" s="108">
        <v>33523.4</v>
      </c>
      <c r="M45" s="52">
        <v>33523.4</v>
      </c>
      <c r="N45" s="52">
        <v>37485</v>
      </c>
      <c r="O45" s="52">
        <v>37485</v>
      </c>
      <c r="P45" s="52">
        <v>37485</v>
      </c>
      <c r="Q45" s="52">
        <v>0</v>
      </c>
      <c r="R45" s="52">
        <v>37485</v>
      </c>
      <c r="S45" s="52">
        <v>37485</v>
      </c>
      <c r="T45" s="52">
        <v>0</v>
      </c>
      <c r="U45" s="52">
        <v>37485</v>
      </c>
      <c r="V45" s="52">
        <v>37485</v>
      </c>
      <c r="W45" s="52">
        <v>0</v>
      </c>
      <c r="X45" s="45"/>
      <c r="Y45" s="42"/>
      <c r="Z45" s="42"/>
      <c r="AA45" s="42"/>
      <c r="AB45" s="42"/>
      <c r="AC45" s="42"/>
      <c r="AD45" s="42"/>
    </row>
    <row r="46" spans="1:30" s="43" customFormat="1" ht="408">
      <c r="A46" s="41"/>
      <c r="B46" s="40"/>
      <c r="C46" s="63" t="s">
        <v>185</v>
      </c>
      <c r="D46" s="64" t="s">
        <v>31</v>
      </c>
      <c r="E46" s="64" t="s">
        <v>32</v>
      </c>
      <c r="F46" s="64" t="s">
        <v>33</v>
      </c>
      <c r="G46" s="64" t="s">
        <v>410</v>
      </c>
      <c r="H46" s="190" t="s">
        <v>411</v>
      </c>
      <c r="I46" s="64" t="s">
        <v>412</v>
      </c>
      <c r="J46" s="66" t="s">
        <v>21</v>
      </c>
      <c r="K46" s="66" t="s">
        <v>22</v>
      </c>
      <c r="L46" s="2">
        <f>472-2.3+3.3</f>
        <v>473</v>
      </c>
      <c r="M46" s="2">
        <f>472-2.3+3.3</f>
        <v>473</v>
      </c>
      <c r="N46" s="2">
        <v>519</v>
      </c>
      <c r="O46" s="91">
        <f>P46+Q46</f>
        <v>519</v>
      </c>
      <c r="P46" s="2">
        <v>519</v>
      </c>
      <c r="Q46" s="2"/>
      <c r="R46" s="91">
        <f>S46+T46</f>
        <v>519</v>
      </c>
      <c r="S46" s="2">
        <v>519</v>
      </c>
      <c r="T46" s="2"/>
      <c r="U46" s="145">
        <f>V46+W46</f>
        <v>519</v>
      </c>
      <c r="V46" s="2">
        <v>519</v>
      </c>
      <c r="W46" s="2"/>
      <c r="X46" s="45"/>
      <c r="Y46" s="42"/>
      <c r="Z46" s="42"/>
      <c r="AA46" s="42"/>
      <c r="AB46" s="42"/>
      <c r="AC46" s="42"/>
      <c r="AD46" s="42"/>
    </row>
    <row r="47" spans="1:30" s="43" customFormat="1" ht="180">
      <c r="A47" s="41"/>
      <c r="B47" s="40"/>
      <c r="C47" s="113" t="s">
        <v>281</v>
      </c>
      <c r="D47" s="114"/>
      <c r="E47" s="114"/>
      <c r="F47" s="114"/>
      <c r="G47" s="114" t="s">
        <v>413</v>
      </c>
      <c r="H47" s="114" t="s">
        <v>414</v>
      </c>
      <c r="I47" s="114" t="s">
        <v>415</v>
      </c>
      <c r="J47" s="115" t="s">
        <v>22</v>
      </c>
      <c r="K47" s="115" t="s">
        <v>23</v>
      </c>
      <c r="L47" s="116">
        <v>4237.7</v>
      </c>
      <c r="M47" s="116">
        <v>4237.7</v>
      </c>
      <c r="N47" s="116">
        <v>4325.3</v>
      </c>
      <c r="O47" s="116">
        <v>4325.3</v>
      </c>
      <c r="P47" s="116">
        <v>4325.3</v>
      </c>
      <c r="Q47" s="116"/>
      <c r="R47" s="116">
        <v>4325.3</v>
      </c>
      <c r="S47" s="116">
        <v>4325.3</v>
      </c>
      <c r="T47" s="117"/>
      <c r="U47" s="116">
        <v>4325.3</v>
      </c>
      <c r="V47" s="116">
        <v>4325.3</v>
      </c>
      <c r="W47" s="117"/>
      <c r="X47" s="45"/>
      <c r="Y47" s="42"/>
      <c r="Z47" s="42"/>
      <c r="AA47" s="42"/>
      <c r="AB47" s="42"/>
      <c r="AC47" s="42"/>
      <c r="AD47" s="42"/>
    </row>
    <row r="48" spans="1:30" s="43" customFormat="1" ht="270">
      <c r="A48" s="41"/>
      <c r="B48" s="40"/>
      <c r="C48" s="98" t="s">
        <v>264</v>
      </c>
      <c r="D48" s="99" t="s">
        <v>30</v>
      </c>
      <c r="E48" s="99" t="s">
        <v>265</v>
      </c>
      <c r="F48" s="99" t="s">
        <v>216</v>
      </c>
      <c r="G48" s="99" t="s">
        <v>416</v>
      </c>
      <c r="H48" s="189" t="s">
        <v>417</v>
      </c>
      <c r="I48" s="99" t="s">
        <v>418</v>
      </c>
      <c r="J48" s="104" t="s">
        <v>166</v>
      </c>
      <c r="K48" s="104" t="s">
        <v>256</v>
      </c>
      <c r="L48" s="105">
        <v>516.2</v>
      </c>
      <c r="M48" s="52">
        <v>516</v>
      </c>
      <c r="N48" s="52">
        <v>515.7</v>
      </c>
      <c r="O48" s="52">
        <v>515.7</v>
      </c>
      <c r="P48" s="52">
        <v>515.7</v>
      </c>
      <c r="Q48" s="52">
        <v>0</v>
      </c>
      <c r="R48" s="52">
        <v>515.7</v>
      </c>
      <c r="S48" s="52">
        <v>515.7</v>
      </c>
      <c r="T48" s="52">
        <v>0</v>
      </c>
      <c r="U48" s="52">
        <v>515.7</v>
      </c>
      <c r="V48" s="52">
        <v>515.7</v>
      </c>
      <c r="W48" s="52">
        <v>0</v>
      </c>
      <c r="X48" s="45"/>
      <c r="Y48" s="42"/>
      <c r="Z48" s="42"/>
      <c r="AA48" s="42"/>
      <c r="AB48" s="42"/>
      <c r="AC48" s="42"/>
      <c r="AD48" s="42"/>
    </row>
    <row r="49" spans="1:30" s="43" customFormat="1" ht="348.75">
      <c r="A49" s="41"/>
      <c r="B49" s="40"/>
      <c r="C49" s="98" t="s">
        <v>266</v>
      </c>
      <c r="D49" s="99" t="s">
        <v>30</v>
      </c>
      <c r="E49" s="99" t="s">
        <v>160</v>
      </c>
      <c r="F49" s="99" t="s">
        <v>110</v>
      </c>
      <c r="G49" s="191" t="s">
        <v>419</v>
      </c>
      <c r="H49" s="192" t="s">
        <v>420</v>
      </c>
      <c r="I49" s="192" t="s">
        <v>421</v>
      </c>
      <c r="J49" s="104" t="s">
        <v>166</v>
      </c>
      <c r="K49" s="104" t="s">
        <v>256</v>
      </c>
      <c r="L49" s="105">
        <v>468.7</v>
      </c>
      <c r="M49" s="52">
        <v>468.7</v>
      </c>
      <c r="N49" s="52">
        <v>514.7</v>
      </c>
      <c r="O49" s="52">
        <v>514.7</v>
      </c>
      <c r="P49" s="52">
        <v>514.7</v>
      </c>
      <c r="Q49" s="52">
        <v>0</v>
      </c>
      <c r="R49" s="52">
        <v>514.7</v>
      </c>
      <c r="S49" s="52">
        <v>514.7</v>
      </c>
      <c r="T49" s="52">
        <v>0</v>
      </c>
      <c r="U49" s="52">
        <v>514.7</v>
      </c>
      <c r="V49" s="52">
        <v>514.7</v>
      </c>
      <c r="W49" s="52">
        <v>0</v>
      </c>
      <c r="X49" s="45"/>
      <c r="Y49" s="42"/>
      <c r="Z49" s="42"/>
      <c r="AA49" s="42"/>
      <c r="AB49" s="42"/>
      <c r="AC49" s="42"/>
      <c r="AD49" s="42"/>
    </row>
    <row r="50" spans="1:30" s="43" customFormat="1" ht="393.75">
      <c r="A50" s="41"/>
      <c r="B50" s="40"/>
      <c r="C50" s="98" t="s">
        <v>186</v>
      </c>
      <c r="D50" s="99" t="s">
        <v>161</v>
      </c>
      <c r="E50" s="99" t="s">
        <v>162</v>
      </c>
      <c r="F50" s="99" t="s">
        <v>163</v>
      </c>
      <c r="G50" s="99" t="s">
        <v>407</v>
      </c>
      <c r="H50" s="189" t="s">
        <v>408</v>
      </c>
      <c r="I50" s="99" t="s">
        <v>409</v>
      </c>
      <c r="J50" s="104" t="s">
        <v>166</v>
      </c>
      <c r="K50" s="104" t="s">
        <v>93</v>
      </c>
      <c r="L50" s="105">
        <v>64159.8</v>
      </c>
      <c r="M50" s="52">
        <v>64159.8</v>
      </c>
      <c r="N50" s="52">
        <v>68627.1</v>
      </c>
      <c r="O50" s="52">
        <v>68627.1</v>
      </c>
      <c r="P50" s="52">
        <v>68627.1</v>
      </c>
      <c r="Q50" s="52" t="s">
        <v>268</v>
      </c>
      <c r="R50" s="52">
        <v>68627.1</v>
      </c>
      <c r="S50" s="52">
        <v>68627.1</v>
      </c>
      <c r="T50" s="52">
        <v>0</v>
      </c>
      <c r="U50" s="52">
        <v>68627.1</v>
      </c>
      <c r="V50" s="52">
        <v>68627.1</v>
      </c>
      <c r="W50" s="52">
        <v>0</v>
      </c>
      <c r="X50" s="45"/>
      <c r="Y50" s="42"/>
      <c r="Z50" s="42"/>
      <c r="AA50" s="42"/>
      <c r="AB50" s="42"/>
      <c r="AC50" s="42"/>
      <c r="AD50" s="42"/>
    </row>
    <row r="51" spans="1:30" s="43" customFormat="1" ht="292.5">
      <c r="A51" s="41"/>
      <c r="B51" s="40"/>
      <c r="C51" s="98" t="s">
        <v>269</v>
      </c>
      <c r="D51" s="99" t="s">
        <v>270</v>
      </c>
      <c r="E51" s="99" t="s">
        <v>271</v>
      </c>
      <c r="F51" s="99" t="s">
        <v>272</v>
      </c>
      <c r="G51" s="107" t="s">
        <v>422</v>
      </c>
      <c r="H51" s="106" t="s">
        <v>423</v>
      </c>
      <c r="I51" s="107" t="s">
        <v>424</v>
      </c>
      <c r="J51" s="104" t="s">
        <v>24</v>
      </c>
      <c r="K51" s="104" t="s">
        <v>22</v>
      </c>
      <c r="L51" s="105">
        <v>1885.1</v>
      </c>
      <c r="M51" s="52">
        <v>1801.2</v>
      </c>
      <c r="N51" s="52">
        <v>1501.6</v>
      </c>
      <c r="O51" s="52">
        <v>1501.6</v>
      </c>
      <c r="P51" s="52">
        <v>1501.6</v>
      </c>
      <c r="Q51" s="52">
        <v>0</v>
      </c>
      <c r="R51" s="52">
        <v>1501.6</v>
      </c>
      <c r="S51" s="52">
        <v>1501.6</v>
      </c>
      <c r="T51" s="52">
        <v>0</v>
      </c>
      <c r="U51" s="52">
        <v>1501.6</v>
      </c>
      <c r="V51" s="52">
        <v>1501.6</v>
      </c>
      <c r="W51" s="52">
        <v>0</v>
      </c>
      <c r="X51" s="45"/>
      <c r="Y51" s="42"/>
      <c r="Z51" s="42"/>
      <c r="AA51" s="42"/>
      <c r="AB51" s="42"/>
      <c r="AC51" s="42"/>
      <c r="AD51" s="42"/>
    </row>
    <row r="52" spans="1:30" s="43" customFormat="1" ht="225">
      <c r="A52" s="41"/>
      <c r="B52" s="40"/>
      <c r="C52" s="98" t="s">
        <v>273</v>
      </c>
      <c r="D52" s="99" t="s">
        <v>274</v>
      </c>
      <c r="E52" s="99" t="s">
        <v>275</v>
      </c>
      <c r="F52" s="109" t="s">
        <v>276</v>
      </c>
      <c r="G52" s="107" t="s">
        <v>425</v>
      </c>
      <c r="H52" s="106" t="s">
        <v>426</v>
      </c>
      <c r="I52" s="107" t="s">
        <v>427</v>
      </c>
      <c r="J52" s="110" t="s">
        <v>166</v>
      </c>
      <c r="K52" s="110" t="s">
        <v>166</v>
      </c>
      <c r="L52" s="111">
        <v>183.4</v>
      </c>
      <c r="M52" s="52">
        <v>183.4</v>
      </c>
      <c r="N52" s="52">
        <v>240.3</v>
      </c>
      <c r="O52" s="52">
        <v>240.3</v>
      </c>
      <c r="P52" s="52">
        <v>240.3</v>
      </c>
      <c r="Q52" s="52">
        <v>0</v>
      </c>
      <c r="R52" s="52">
        <v>240.3</v>
      </c>
      <c r="S52" s="52">
        <v>240.3</v>
      </c>
      <c r="T52" s="52">
        <v>0</v>
      </c>
      <c r="U52" s="52">
        <v>240.3</v>
      </c>
      <c r="V52" s="52">
        <v>240.3</v>
      </c>
      <c r="W52" s="52">
        <v>0</v>
      </c>
      <c r="X52" s="45"/>
      <c r="Y52" s="42"/>
      <c r="Z52" s="42"/>
      <c r="AA52" s="42"/>
      <c r="AB52" s="42"/>
      <c r="AC52" s="42"/>
      <c r="AD52" s="42"/>
    </row>
    <row r="53" spans="1:30" s="43" customFormat="1" ht="409.5">
      <c r="A53" s="41"/>
      <c r="B53" s="40"/>
      <c r="C53" s="63" t="s">
        <v>193</v>
      </c>
      <c r="D53" s="64" t="s">
        <v>194</v>
      </c>
      <c r="E53" s="64"/>
      <c r="F53" s="64" t="s">
        <v>195</v>
      </c>
      <c r="G53" s="64" t="s">
        <v>428</v>
      </c>
      <c r="H53" s="64" t="s">
        <v>429</v>
      </c>
      <c r="I53" s="64" t="s">
        <v>430</v>
      </c>
      <c r="J53" s="62" t="s">
        <v>24</v>
      </c>
      <c r="K53" s="62" t="s">
        <v>22</v>
      </c>
      <c r="L53" s="2">
        <v>127</v>
      </c>
      <c r="M53" s="2">
        <f>110.6+16.4</f>
        <v>127</v>
      </c>
      <c r="N53" s="2"/>
      <c r="O53" s="46">
        <f aca="true" t="shared" si="4" ref="O53:O60">P53+Q53</f>
        <v>0</v>
      </c>
      <c r="P53" s="2"/>
      <c r="Q53" s="2"/>
      <c r="R53" s="46">
        <f aca="true" t="shared" si="5" ref="R53:R60">S53+T53</f>
        <v>0</v>
      </c>
      <c r="S53" s="2"/>
      <c r="T53" s="2"/>
      <c r="U53" s="147">
        <f>V53+W53</f>
        <v>0</v>
      </c>
      <c r="V53" s="2"/>
      <c r="W53" s="2"/>
      <c r="X53" s="45"/>
      <c r="Y53" s="42"/>
      <c r="Z53" s="42"/>
      <c r="AA53" s="42"/>
      <c r="AB53" s="42"/>
      <c r="AC53" s="42"/>
      <c r="AD53" s="42"/>
    </row>
    <row r="54" spans="1:30" s="43" customFormat="1" ht="409.5">
      <c r="A54" s="41"/>
      <c r="B54" s="40"/>
      <c r="C54" s="63" t="s">
        <v>187</v>
      </c>
      <c r="D54" s="64" t="s">
        <v>147</v>
      </c>
      <c r="E54" s="64" t="s">
        <v>142</v>
      </c>
      <c r="F54" s="64" t="s">
        <v>148</v>
      </c>
      <c r="G54" s="64" t="s">
        <v>431</v>
      </c>
      <c r="H54" s="193" t="s">
        <v>432</v>
      </c>
      <c r="I54" s="64" t="s">
        <v>433</v>
      </c>
      <c r="J54" s="66" t="s">
        <v>24</v>
      </c>
      <c r="K54" s="66" t="s">
        <v>22</v>
      </c>
      <c r="L54" s="2">
        <v>3780</v>
      </c>
      <c r="M54" s="2"/>
      <c r="N54" s="2">
        <f>4135.3+175.2+1469.5-2000+1260.7+2.2</f>
        <v>5042.9</v>
      </c>
      <c r="O54" s="91">
        <f t="shared" si="4"/>
        <v>3782.2</v>
      </c>
      <c r="P54" s="2">
        <f>4135.3+175.2+1469.5-2000+2.2</f>
        <v>3782.2</v>
      </c>
      <c r="Q54" s="2"/>
      <c r="R54" s="91">
        <f t="shared" si="5"/>
        <v>3782.2</v>
      </c>
      <c r="S54" s="2">
        <f>4135.3+175.2+1469.5-2000+2.2</f>
        <v>3782.2</v>
      </c>
      <c r="T54" s="2"/>
      <c r="U54" s="145">
        <f>V54+W54</f>
        <v>3782.2</v>
      </c>
      <c r="V54" s="2">
        <f>4135.3+175.2+1469.5-2000+2.2</f>
        <v>3782.2</v>
      </c>
      <c r="W54" s="2"/>
      <c r="X54" s="45"/>
      <c r="Y54" s="42"/>
      <c r="Z54" s="42"/>
      <c r="AA54" s="42"/>
      <c r="AB54" s="42"/>
      <c r="AC54" s="42"/>
      <c r="AD54" s="42"/>
    </row>
    <row r="55" spans="1:30" s="43" customFormat="1" ht="180">
      <c r="A55" s="41"/>
      <c r="B55" s="40"/>
      <c r="C55" s="118" t="s">
        <v>282</v>
      </c>
      <c r="D55" s="119"/>
      <c r="E55" s="119"/>
      <c r="F55" s="119"/>
      <c r="G55" s="120" t="s">
        <v>434</v>
      </c>
      <c r="H55" s="121" t="s">
        <v>435</v>
      </c>
      <c r="I55" s="121" t="s">
        <v>436</v>
      </c>
      <c r="J55" s="48" t="s">
        <v>22</v>
      </c>
      <c r="K55" s="101" t="s">
        <v>23</v>
      </c>
      <c r="L55" s="116">
        <v>1500</v>
      </c>
      <c r="M55" s="122">
        <v>1500</v>
      </c>
      <c r="N55" s="123">
        <v>11882.2</v>
      </c>
      <c r="O55" s="116">
        <v>10727.2</v>
      </c>
      <c r="P55" s="116">
        <v>10727.2</v>
      </c>
      <c r="Q55" s="124"/>
      <c r="R55" s="116">
        <v>10727.2</v>
      </c>
      <c r="S55" s="116">
        <v>10727.2</v>
      </c>
      <c r="T55" s="124"/>
      <c r="U55" s="116">
        <v>10727.2</v>
      </c>
      <c r="V55" s="116">
        <v>10727.2</v>
      </c>
      <c r="W55" s="124"/>
      <c r="X55" s="45"/>
      <c r="Y55" s="42"/>
      <c r="Z55" s="42"/>
      <c r="AA55" s="42"/>
      <c r="AB55" s="42"/>
      <c r="AC55" s="42"/>
      <c r="AD55" s="42"/>
    </row>
    <row r="56" spans="1:30" s="43" customFormat="1" ht="264">
      <c r="A56" s="41"/>
      <c r="B56" s="40"/>
      <c r="C56" s="63" t="s">
        <v>188</v>
      </c>
      <c r="D56" s="64" t="s">
        <v>36</v>
      </c>
      <c r="E56" s="64" t="s">
        <v>37</v>
      </c>
      <c r="F56" s="64" t="s">
        <v>159</v>
      </c>
      <c r="G56" s="78" t="s">
        <v>437</v>
      </c>
      <c r="H56" s="77" t="s">
        <v>438</v>
      </c>
      <c r="I56" s="78" t="s">
        <v>439</v>
      </c>
      <c r="J56" s="66" t="s">
        <v>21</v>
      </c>
      <c r="K56" s="66" t="s">
        <v>23</v>
      </c>
      <c r="L56" s="2">
        <v>12.6</v>
      </c>
      <c r="M56" s="2"/>
      <c r="N56" s="2">
        <f>73.4</f>
        <v>73.4</v>
      </c>
      <c r="O56" s="2">
        <f t="shared" si="4"/>
        <v>5.900000000000006</v>
      </c>
      <c r="P56" s="2">
        <f>73.4-67.5</f>
        <v>5.900000000000006</v>
      </c>
      <c r="Q56" s="2"/>
      <c r="R56" s="2">
        <f t="shared" si="5"/>
        <v>5.2000000000000055</v>
      </c>
      <c r="S56" s="2">
        <f>73.4-67.5-0.7</f>
        <v>5.2000000000000055</v>
      </c>
      <c r="T56" s="2"/>
      <c r="U56" s="2">
        <f>V56+W56</f>
        <v>5.2000000000000055</v>
      </c>
      <c r="V56" s="2">
        <f>73.4-67.5-0.7</f>
        <v>5.2000000000000055</v>
      </c>
      <c r="W56" s="2"/>
      <c r="X56" s="45"/>
      <c r="Y56" s="42"/>
      <c r="Z56" s="42"/>
      <c r="AA56" s="42"/>
      <c r="AB56" s="42"/>
      <c r="AC56" s="42"/>
      <c r="AD56" s="42"/>
    </row>
    <row r="57" spans="1:30" s="43" customFormat="1" ht="382.5">
      <c r="A57" s="41"/>
      <c r="B57" s="40"/>
      <c r="C57" s="98" t="s">
        <v>277</v>
      </c>
      <c r="D57" s="99" t="s">
        <v>161</v>
      </c>
      <c r="E57" s="99" t="s">
        <v>162</v>
      </c>
      <c r="F57" s="99" t="s">
        <v>163</v>
      </c>
      <c r="G57" s="99" t="s">
        <v>440</v>
      </c>
      <c r="H57" s="189" t="s">
        <v>441</v>
      </c>
      <c r="I57" s="99" t="s">
        <v>442</v>
      </c>
      <c r="J57" s="104" t="s">
        <v>166</v>
      </c>
      <c r="K57" s="104" t="s">
        <v>93</v>
      </c>
      <c r="L57" s="111">
        <v>246.6</v>
      </c>
      <c r="M57" s="52">
        <v>195.3</v>
      </c>
      <c r="N57" s="52">
        <v>290.1</v>
      </c>
      <c r="O57" s="52">
        <v>290.1</v>
      </c>
      <c r="P57" s="52">
        <v>290.1</v>
      </c>
      <c r="Q57" s="52">
        <v>0</v>
      </c>
      <c r="R57" s="52">
        <v>290.1</v>
      </c>
      <c r="S57" s="52">
        <v>290.1</v>
      </c>
      <c r="T57" s="52">
        <v>0</v>
      </c>
      <c r="U57" s="52">
        <v>290.1</v>
      </c>
      <c r="V57" s="52">
        <v>290.1</v>
      </c>
      <c r="W57" s="52">
        <v>0</v>
      </c>
      <c r="X57" s="45"/>
      <c r="Y57" s="42"/>
      <c r="Z57" s="42"/>
      <c r="AA57" s="42"/>
      <c r="AB57" s="42"/>
      <c r="AC57" s="42"/>
      <c r="AD57" s="42"/>
    </row>
    <row r="58" spans="1:30" s="43" customFormat="1" ht="405">
      <c r="A58" s="41"/>
      <c r="B58" s="40"/>
      <c r="C58" s="98" t="s">
        <v>278</v>
      </c>
      <c r="D58" s="99" t="s">
        <v>161</v>
      </c>
      <c r="E58" s="99" t="s">
        <v>162</v>
      </c>
      <c r="F58" s="99" t="s">
        <v>163</v>
      </c>
      <c r="G58" s="99" t="s">
        <v>443</v>
      </c>
      <c r="H58" s="106" t="s">
        <v>444</v>
      </c>
      <c r="I58" s="107" t="s">
        <v>445</v>
      </c>
      <c r="J58" s="104" t="s">
        <v>166</v>
      </c>
      <c r="K58" s="104" t="s">
        <v>93</v>
      </c>
      <c r="L58" s="111">
        <v>738.8</v>
      </c>
      <c r="M58" s="52">
        <v>558.8</v>
      </c>
      <c r="N58" s="52">
        <v>854.8</v>
      </c>
      <c r="O58" s="52">
        <v>854.8</v>
      </c>
      <c r="P58" s="52">
        <v>854.8</v>
      </c>
      <c r="Q58" s="52">
        <v>0</v>
      </c>
      <c r="R58" s="52">
        <v>854.8</v>
      </c>
      <c r="S58" s="52">
        <v>854.8</v>
      </c>
      <c r="T58" s="52">
        <v>0</v>
      </c>
      <c r="U58" s="52">
        <v>854.8</v>
      </c>
      <c r="V58" s="52">
        <v>854.8</v>
      </c>
      <c r="W58" s="52">
        <v>0</v>
      </c>
      <c r="X58" s="45"/>
      <c r="Y58" s="42"/>
      <c r="Z58" s="42"/>
      <c r="AA58" s="42"/>
      <c r="AB58" s="42"/>
      <c r="AC58" s="42"/>
      <c r="AD58" s="42"/>
    </row>
    <row r="59" spans="1:30" s="43" customFormat="1" ht="408">
      <c r="A59" s="41"/>
      <c r="B59" s="40"/>
      <c r="C59" s="63" t="s">
        <v>199</v>
      </c>
      <c r="D59" s="64"/>
      <c r="E59" s="64"/>
      <c r="F59" s="64"/>
      <c r="G59" s="64" t="s">
        <v>446</v>
      </c>
      <c r="H59" s="190" t="s">
        <v>432</v>
      </c>
      <c r="I59" s="194" t="s">
        <v>447</v>
      </c>
      <c r="J59" s="66" t="s">
        <v>21</v>
      </c>
      <c r="K59" s="66" t="s">
        <v>22</v>
      </c>
      <c r="L59" s="2">
        <v>396.9</v>
      </c>
      <c r="M59" s="2">
        <f>397.9-3.7+2.7</f>
        <v>396.9</v>
      </c>
      <c r="N59" s="2">
        <v>435.1</v>
      </c>
      <c r="O59" s="2">
        <f t="shared" si="4"/>
        <v>435.1</v>
      </c>
      <c r="P59" s="2">
        <v>435.1</v>
      </c>
      <c r="Q59" s="2"/>
      <c r="R59" s="2">
        <f t="shared" si="5"/>
        <v>435.1</v>
      </c>
      <c r="S59" s="2">
        <v>435.1</v>
      </c>
      <c r="T59" s="2"/>
      <c r="U59" s="2">
        <f>V59+W59</f>
        <v>435.1</v>
      </c>
      <c r="V59" s="2">
        <v>435.1</v>
      </c>
      <c r="W59" s="2"/>
      <c r="X59" s="45"/>
      <c r="Y59" s="42"/>
      <c r="Z59" s="42"/>
      <c r="AA59" s="42"/>
      <c r="AB59" s="42"/>
      <c r="AC59" s="42"/>
      <c r="AD59" s="42"/>
    </row>
    <row r="60" spans="1:30" s="43" customFormat="1" ht="216">
      <c r="A60" s="41"/>
      <c r="B60" s="40"/>
      <c r="C60" s="63" t="s">
        <v>247</v>
      </c>
      <c r="D60" s="64" t="s">
        <v>36</v>
      </c>
      <c r="E60" s="64" t="s">
        <v>142</v>
      </c>
      <c r="F60" s="64" t="s">
        <v>159</v>
      </c>
      <c r="G60" s="78" t="s">
        <v>448</v>
      </c>
      <c r="H60" s="77" t="s">
        <v>449</v>
      </c>
      <c r="I60" s="79" t="s">
        <v>450</v>
      </c>
      <c r="J60" s="66" t="s">
        <v>23</v>
      </c>
      <c r="K60" s="66" t="s">
        <v>23</v>
      </c>
      <c r="L60" s="2">
        <v>2.2</v>
      </c>
      <c r="M60" s="2">
        <f>2.5-0.3</f>
        <v>2.2</v>
      </c>
      <c r="N60" s="2">
        <f>2.5-0.3</f>
        <v>2.2</v>
      </c>
      <c r="O60" s="2">
        <f t="shared" si="4"/>
        <v>2.2</v>
      </c>
      <c r="P60" s="2">
        <f>2.5-0.3</f>
        <v>2.2</v>
      </c>
      <c r="Q60" s="2"/>
      <c r="R60" s="2">
        <f t="shared" si="5"/>
        <v>2.2</v>
      </c>
      <c r="S60" s="2">
        <f>2.5-0.3</f>
        <v>2.2</v>
      </c>
      <c r="T60" s="2"/>
      <c r="U60" s="2">
        <f>V60+W60</f>
        <v>2.2</v>
      </c>
      <c r="V60" s="2">
        <f>2.5-0.3</f>
        <v>2.2</v>
      </c>
      <c r="W60" s="2"/>
      <c r="X60" s="45"/>
      <c r="Y60" s="42"/>
      <c r="Z60" s="42"/>
      <c r="AA60" s="42"/>
      <c r="AB60" s="42"/>
      <c r="AC60" s="42"/>
      <c r="AD60" s="42"/>
    </row>
    <row r="61" spans="1:30" s="43" customFormat="1" ht="258.75">
      <c r="A61" s="41"/>
      <c r="B61" s="40"/>
      <c r="C61" s="118" t="s">
        <v>284</v>
      </c>
      <c r="D61" s="125"/>
      <c r="E61" s="119"/>
      <c r="F61" s="119"/>
      <c r="G61" s="120" t="s">
        <v>451</v>
      </c>
      <c r="H61" s="121" t="s">
        <v>452</v>
      </c>
      <c r="I61" s="121" t="s">
        <v>453</v>
      </c>
      <c r="J61" s="48" t="s">
        <v>22</v>
      </c>
      <c r="K61" s="101" t="s">
        <v>23</v>
      </c>
      <c r="L61" s="116">
        <v>2088.4</v>
      </c>
      <c r="M61" s="122">
        <v>2088.4</v>
      </c>
      <c r="N61" s="122">
        <v>1816.4</v>
      </c>
      <c r="O61" s="116">
        <v>1816.4</v>
      </c>
      <c r="P61" s="116">
        <v>1816.4</v>
      </c>
      <c r="Q61" s="122"/>
      <c r="R61" s="116">
        <v>1816.4</v>
      </c>
      <c r="S61" s="116">
        <v>1816.4</v>
      </c>
      <c r="T61" s="122"/>
      <c r="U61" s="116">
        <v>1816.4</v>
      </c>
      <c r="V61" s="116">
        <v>1816.4</v>
      </c>
      <c r="W61" s="122"/>
      <c r="X61" s="45"/>
      <c r="Y61" s="42"/>
      <c r="Z61" s="42"/>
      <c r="AA61" s="42"/>
      <c r="AB61" s="42"/>
      <c r="AC61" s="42"/>
      <c r="AD61" s="42"/>
    </row>
    <row r="62" spans="1:30" s="43" customFormat="1" ht="292.5">
      <c r="A62" s="41"/>
      <c r="B62" s="40"/>
      <c r="C62" s="118" t="s">
        <v>285</v>
      </c>
      <c r="D62" s="126"/>
      <c r="E62" s="119"/>
      <c r="F62" s="119"/>
      <c r="G62" s="120" t="s">
        <v>454</v>
      </c>
      <c r="H62" s="121" t="s">
        <v>455</v>
      </c>
      <c r="I62" s="121" t="s">
        <v>456</v>
      </c>
      <c r="J62" s="48" t="s">
        <v>22</v>
      </c>
      <c r="K62" s="101" t="s">
        <v>23</v>
      </c>
      <c r="L62" s="116">
        <v>298.4</v>
      </c>
      <c r="M62" s="122">
        <v>298.4</v>
      </c>
      <c r="N62" s="122">
        <v>4281.9</v>
      </c>
      <c r="O62" s="116">
        <v>5013</v>
      </c>
      <c r="P62" s="122">
        <v>5013</v>
      </c>
      <c r="Q62" s="124"/>
      <c r="R62" s="116">
        <v>5013</v>
      </c>
      <c r="S62" s="122">
        <v>5013</v>
      </c>
      <c r="T62" s="124"/>
      <c r="U62" s="116">
        <v>5013</v>
      </c>
      <c r="V62" s="122">
        <v>5013</v>
      </c>
      <c r="W62" s="124"/>
      <c r="X62" s="45"/>
      <c r="Y62" s="42"/>
      <c r="Z62" s="42"/>
      <c r="AA62" s="42"/>
      <c r="AB62" s="42"/>
      <c r="AC62" s="42"/>
      <c r="AD62" s="42"/>
    </row>
    <row r="63" spans="1:30" s="43" customFormat="1" ht="382.5">
      <c r="A63" s="41"/>
      <c r="B63" s="40"/>
      <c r="C63" s="118" t="s">
        <v>286</v>
      </c>
      <c r="D63" s="119"/>
      <c r="E63" s="119"/>
      <c r="F63" s="125"/>
      <c r="G63" s="118" t="s">
        <v>457</v>
      </c>
      <c r="H63" s="119" t="s">
        <v>458</v>
      </c>
      <c r="I63" s="121" t="s">
        <v>459</v>
      </c>
      <c r="J63" s="48" t="s">
        <v>22</v>
      </c>
      <c r="K63" s="101" t="s">
        <v>23</v>
      </c>
      <c r="L63" s="116">
        <v>216.7</v>
      </c>
      <c r="M63" s="122">
        <v>214.3</v>
      </c>
      <c r="N63" s="123">
        <v>305</v>
      </c>
      <c r="O63" s="116">
        <v>305</v>
      </c>
      <c r="P63" s="122">
        <v>305</v>
      </c>
      <c r="Q63" s="124"/>
      <c r="R63" s="116">
        <v>305</v>
      </c>
      <c r="S63" s="122">
        <v>305</v>
      </c>
      <c r="T63" s="124"/>
      <c r="U63" s="116">
        <v>305</v>
      </c>
      <c r="V63" s="122">
        <v>305</v>
      </c>
      <c r="W63" s="124"/>
      <c r="X63" s="45"/>
      <c r="Y63" s="42"/>
      <c r="Z63" s="42"/>
      <c r="AA63" s="42"/>
      <c r="AB63" s="42"/>
      <c r="AC63" s="42"/>
      <c r="AD63" s="42"/>
    </row>
    <row r="64" spans="1:30" s="43" customFormat="1" ht="270">
      <c r="A64" s="41"/>
      <c r="B64" s="40"/>
      <c r="C64" s="118" t="s">
        <v>287</v>
      </c>
      <c r="D64" s="120" t="s">
        <v>288</v>
      </c>
      <c r="E64" s="119" t="s">
        <v>289</v>
      </c>
      <c r="F64" s="121" t="s">
        <v>290</v>
      </c>
      <c r="G64" s="120" t="s">
        <v>463</v>
      </c>
      <c r="H64" s="119" t="s">
        <v>455</v>
      </c>
      <c r="I64" s="121" t="s">
        <v>464</v>
      </c>
      <c r="J64" s="101" t="s">
        <v>22</v>
      </c>
      <c r="K64" s="101" t="s">
        <v>23</v>
      </c>
      <c r="L64" s="127">
        <v>3340.4</v>
      </c>
      <c r="M64" s="122">
        <v>3340.4</v>
      </c>
      <c r="N64" s="122">
        <v>3465</v>
      </c>
      <c r="O64" s="127">
        <v>3063.8</v>
      </c>
      <c r="P64" s="122">
        <v>3063.8</v>
      </c>
      <c r="Q64" s="124"/>
      <c r="R64" s="127">
        <v>2939.2</v>
      </c>
      <c r="S64" s="122">
        <v>2939.2</v>
      </c>
      <c r="T64" s="124"/>
      <c r="U64" s="127">
        <v>2939.2</v>
      </c>
      <c r="V64" s="122">
        <v>2939.2</v>
      </c>
      <c r="W64" s="124"/>
      <c r="X64" s="45"/>
      <c r="Y64" s="42"/>
      <c r="Z64" s="42"/>
      <c r="AA64" s="42"/>
      <c r="AB64" s="42"/>
      <c r="AC64" s="42"/>
      <c r="AD64" s="42"/>
    </row>
    <row r="65" spans="1:30" s="43" customFormat="1" ht="213.75">
      <c r="A65" s="41"/>
      <c r="B65" s="40"/>
      <c r="C65" s="118" t="s">
        <v>291</v>
      </c>
      <c r="D65" s="119"/>
      <c r="E65" s="119"/>
      <c r="F65" s="121"/>
      <c r="G65" s="195" t="s">
        <v>460</v>
      </c>
      <c r="H65" s="121" t="s">
        <v>461</v>
      </c>
      <c r="I65" s="121" t="s">
        <v>462</v>
      </c>
      <c r="J65" s="101" t="s">
        <v>22</v>
      </c>
      <c r="K65" s="101" t="s">
        <v>23</v>
      </c>
      <c r="L65" s="127">
        <v>4993.6</v>
      </c>
      <c r="M65" s="122">
        <v>4993.6</v>
      </c>
      <c r="N65" s="122">
        <v>5329.4</v>
      </c>
      <c r="O65" s="127">
        <v>5329.4</v>
      </c>
      <c r="P65" s="122">
        <v>5329.4</v>
      </c>
      <c r="Q65" s="124"/>
      <c r="R65" s="127">
        <v>5329.4</v>
      </c>
      <c r="S65" s="122">
        <v>5329.4</v>
      </c>
      <c r="T65" s="124"/>
      <c r="U65" s="127">
        <v>5329.4</v>
      </c>
      <c r="V65" s="122">
        <v>5329.4</v>
      </c>
      <c r="W65" s="124"/>
      <c r="X65" s="45"/>
      <c r="Y65" s="42"/>
      <c r="Z65" s="42"/>
      <c r="AA65" s="42"/>
      <c r="AB65" s="42"/>
      <c r="AC65" s="42"/>
      <c r="AD65" s="42"/>
    </row>
    <row r="66" spans="1:30" s="43" customFormat="1" ht="270">
      <c r="A66" s="41"/>
      <c r="B66" s="40"/>
      <c r="C66" s="118" t="s">
        <v>292</v>
      </c>
      <c r="D66" s="119"/>
      <c r="E66" s="119"/>
      <c r="F66" s="119"/>
      <c r="G66" s="120" t="s">
        <v>463</v>
      </c>
      <c r="H66" s="119" t="s">
        <v>455</v>
      </c>
      <c r="I66" s="121" t="s">
        <v>464</v>
      </c>
      <c r="J66" s="101" t="s">
        <v>22</v>
      </c>
      <c r="K66" s="101" t="s">
        <v>23</v>
      </c>
      <c r="L66" s="127">
        <v>6940.6</v>
      </c>
      <c r="M66" s="122">
        <v>6940.6</v>
      </c>
      <c r="N66" s="122">
        <v>6479.9</v>
      </c>
      <c r="O66" s="127">
        <v>6479.9</v>
      </c>
      <c r="P66" s="127">
        <v>6479.9</v>
      </c>
      <c r="Q66" s="124"/>
      <c r="R66" s="127">
        <v>6479.9</v>
      </c>
      <c r="S66" s="127">
        <v>6479.9</v>
      </c>
      <c r="T66" s="124"/>
      <c r="U66" s="127">
        <v>6479.9</v>
      </c>
      <c r="V66" s="127">
        <v>6479.9</v>
      </c>
      <c r="W66" s="124"/>
      <c r="X66" s="45"/>
      <c r="Y66" s="42"/>
      <c r="Z66" s="42"/>
      <c r="AA66" s="42"/>
      <c r="AB66" s="42"/>
      <c r="AC66" s="42"/>
      <c r="AD66" s="42"/>
    </row>
    <row r="67" spans="1:30" s="43" customFormat="1" ht="258.75">
      <c r="A67" s="41"/>
      <c r="B67" s="40"/>
      <c r="C67" s="118" t="s">
        <v>293</v>
      </c>
      <c r="D67" s="120" t="s">
        <v>288</v>
      </c>
      <c r="E67" s="121" t="s">
        <v>283</v>
      </c>
      <c r="F67" s="121" t="s">
        <v>290</v>
      </c>
      <c r="G67" s="120" t="s">
        <v>451</v>
      </c>
      <c r="H67" s="121" t="s">
        <v>452</v>
      </c>
      <c r="I67" s="121" t="s">
        <v>453</v>
      </c>
      <c r="J67" s="101" t="s">
        <v>22</v>
      </c>
      <c r="K67" s="101" t="s">
        <v>23</v>
      </c>
      <c r="L67" s="127">
        <v>1875.5</v>
      </c>
      <c r="M67" s="122">
        <v>1875.5</v>
      </c>
      <c r="N67" s="122">
        <v>1356.5</v>
      </c>
      <c r="O67" s="127">
        <v>1356.5</v>
      </c>
      <c r="P67" s="122">
        <v>1356.5</v>
      </c>
      <c r="Q67" s="124"/>
      <c r="R67" s="127">
        <v>1356.5</v>
      </c>
      <c r="S67" s="122">
        <v>1356.5</v>
      </c>
      <c r="T67" s="124"/>
      <c r="U67" s="127">
        <v>1356.5</v>
      </c>
      <c r="V67" s="122">
        <v>1356.5</v>
      </c>
      <c r="W67" s="124"/>
      <c r="X67" s="45"/>
      <c r="Y67" s="42"/>
      <c r="Z67" s="42"/>
      <c r="AA67" s="42"/>
      <c r="AB67" s="42"/>
      <c r="AC67" s="42"/>
      <c r="AD67" s="42"/>
    </row>
    <row r="68" spans="1:30" s="43" customFormat="1" ht="213.75">
      <c r="A68" s="41"/>
      <c r="B68" s="40"/>
      <c r="C68" s="118" t="s">
        <v>294</v>
      </c>
      <c r="D68" s="120" t="s">
        <v>288</v>
      </c>
      <c r="E68" s="119" t="s">
        <v>289</v>
      </c>
      <c r="F68" s="121" t="s">
        <v>290</v>
      </c>
      <c r="G68" s="195" t="s">
        <v>460</v>
      </c>
      <c r="H68" s="121" t="s">
        <v>461</v>
      </c>
      <c r="I68" s="121" t="s">
        <v>462</v>
      </c>
      <c r="J68" s="101" t="s">
        <v>22</v>
      </c>
      <c r="K68" s="101" t="s">
        <v>23</v>
      </c>
      <c r="L68" s="122">
        <v>6410.8</v>
      </c>
      <c r="M68" s="122">
        <v>6410.8</v>
      </c>
      <c r="N68" s="122"/>
      <c r="O68" s="127"/>
      <c r="P68" s="122"/>
      <c r="Q68" s="124"/>
      <c r="R68" s="127"/>
      <c r="S68" s="122"/>
      <c r="T68" s="124"/>
      <c r="U68" s="127"/>
      <c r="V68" s="122"/>
      <c r="W68" s="124"/>
      <c r="X68" s="45"/>
      <c r="Y68" s="42"/>
      <c r="Z68" s="42"/>
      <c r="AA68" s="42"/>
      <c r="AB68" s="42"/>
      <c r="AC68" s="42"/>
      <c r="AD68" s="42"/>
    </row>
    <row r="69" spans="1:30" s="43" customFormat="1" ht="247.5">
      <c r="A69" s="41"/>
      <c r="B69" s="40"/>
      <c r="C69" s="98" t="s">
        <v>279</v>
      </c>
      <c r="D69" s="99" t="s">
        <v>161</v>
      </c>
      <c r="E69" s="99" t="s">
        <v>162</v>
      </c>
      <c r="F69" s="99" t="s">
        <v>163</v>
      </c>
      <c r="G69" s="99" t="s">
        <v>164</v>
      </c>
      <c r="H69" s="106" t="s">
        <v>267</v>
      </c>
      <c r="I69" s="107" t="s">
        <v>165</v>
      </c>
      <c r="J69" s="104" t="s">
        <v>166</v>
      </c>
      <c r="K69" s="104" t="s">
        <v>93</v>
      </c>
      <c r="L69" s="111">
        <v>5605.8</v>
      </c>
      <c r="M69" s="52">
        <v>4262.2</v>
      </c>
      <c r="N69" s="52">
        <v>5156.4</v>
      </c>
      <c r="O69" s="52">
        <v>5156.4</v>
      </c>
      <c r="P69" s="52">
        <v>5156.4</v>
      </c>
      <c r="Q69" s="52">
        <v>0</v>
      </c>
      <c r="R69" s="52">
        <v>5433.8</v>
      </c>
      <c r="S69" s="52">
        <v>5433.8</v>
      </c>
      <c r="T69" s="52">
        <v>0</v>
      </c>
      <c r="U69" s="52">
        <v>5433.8</v>
      </c>
      <c r="V69" s="52">
        <v>5433.8</v>
      </c>
      <c r="W69" s="52">
        <v>0</v>
      </c>
      <c r="X69" s="45"/>
      <c r="Y69" s="42"/>
      <c r="Z69" s="42"/>
      <c r="AA69" s="42"/>
      <c r="AB69" s="42"/>
      <c r="AC69" s="42"/>
      <c r="AD69" s="42"/>
    </row>
    <row r="70" spans="1:30" s="43" customFormat="1" ht="303.75">
      <c r="A70" s="41"/>
      <c r="B70" s="40"/>
      <c r="C70" s="98" t="s">
        <v>280</v>
      </c>
      <c r="D70" s="99" t="s">
        <v>161</v>
      </c>
      <c r="E70" s="99" t="s">
        <v>162</v>
      </c>
      <c r="F70" s="99" t="s">
        <v>163</v>
      </c>
      <c r="G70" s="99" t="s">
        <v>465</v>
      </c>
      <c r="H70" s="189" t="s">
        <v>466</v>
      </c>
      <c r="I70" s="99" t="s">
        <v>467</v>
      </c>
      <c r="J70" s="104" t="s">
        <v>166</v>
      </c>
      <c r="K70" s="104" t="s">
        <v>93</v>
      </c>
      <c r="L70" s="111">
        <v>212.8</v>
      </c>
      <c r="M70" s="52">
        <v>212.8</v>
      </c>
      <c r="N70" s="52">
        <v>205</v>
      </c>
      <c r="O70" s="52">
        <v>205</v>
      </c>
      <c r="P70" s="52">
        <v>205</v>
      </c>
      <c r="Q70" s="52">
        <v>0</v>
      </c>
      <c r="R70" s="52">
        <v>205</v>
      </c>
      <c r="S70" s="52">
        <v>205</v>
      </c>
      <c r="T70" s="52">
        <v>0</v>
      </c>
      <c r="U70" s="52">
        <v>205</v>
      </c>
      <c r="V70" s="52">
        <v>205</v>
      </c>
      <c r="W70" s="52">
        <v>0</v>
      </c>
      <c r="X70" s="45"/>
      <c r="Y70" s="42"/>
      <c r="Z70" s="42"/>
      <c r="AA70" s="42"/>
      <c r="AB70" s="42"/>
      <c r="AC70" s="42"/>
      <c r="AD70" s="42"/>
    </row>
    <row r="71" spans="1:30" s="43" customFormat="1" ht="405">
      <c r="A71" s="41"/>
      <c r="B71" s="40"/>
      <c r="C71" s="118" t="s">
        <v>295</v>
      </c>
      <c r="D71" s="120" t="s">
        <v>288</v>
      </c>
      <c r="E71" s="119" t="s">
        <v>289</v>
      </c>
      <c r="F71" s="128" t="s">
        <v>290</v>
      </c>
      <c r="G71" s="120" t="s">
        <v>468</v>
      </c>
      <c r="H71" s="121" t="s">
        <v>455</v>
      </c>
      <c r="I71" s="121" t="s">
        <v>469</v>
      </c>
      <c r="J71" s="101" t="s">
        <v>22</v>
      </c>
      <c r="K71" s="101" t="s">
        <v>23</v>
      </c>
      <c r="L71" s="122">
        <v>48.5</v>
      </c>
      <c r="M71" s="122">
        <v>48.5</v>
      </c>
      <c r="N71" s="122">
        <v>201.6</v>
      </c>
      <c r="O71" s="127">
        <v>201.6</v>
      </c>
      <c r="P71" s="122">
        <v>201.6</v>
      </c>
      <c r="Q71" s="124"/>
      <c r="R71" s="127">
        <v>1122.2</v>
      </c>
      <c r="S71" s="122">
        <v>1122.2</v>
      </c>
      <c r="T71" s="124"/>
      <c r="U71" s="127">
        <v>1122.2</v>
      </c>
      <c r="V71" s="122">
        <v>1122.2</v>
      </c>
      <c r="W71" s="124"/>
      <c r="X71" s="45"/>
      <c r="Y71" s="42"/>
      <c r="Z71" s="42"/>
      <c r="AA71" s="42"/>
      <c r="AB71" s="42"/>
      <c r="AC71" s="42"/>
      <c r="AD71" s="42"/>
    </row>
    <row r="72" spans="1:30" s="43" customFormat="1" ht="405">
      <c r="A72" s="41"/>
      <c r="B72" s="40"/>
      <c r="C72" s="118" t="s">
        <v>296</v>
      </c>
      <c r="D72" s="120" t="s">
        <v>288</v>
      </c>
      <c r="E72" s="119" t="s">
        <v>289</v>
      </c>
      <c r="F72" s="121" t="s">
        <v>290</v>
      </c>
      <c r="G72" s="120" t="s">
        <v>468</v>
      </c>
      <c r="H72" s="121" t="s">
        <v>455</v>
      </c>
      <c r="I72" s="121" t="s">
        <v>469</v>
      </c>
      <c r="J72" s="101" t="s">
        <v>22</v>
      </c>
      <c r="K72" s="101" t="s">
        <v>23</v>
      </c>
      <c r="L72" s="122">
        <v>4801</v>
      </c>
      <c r="M72" s="122">
        <v>4801</v>
      </c>
      <c r="N72" s="122">
        <v>3830</v>
      </c>
      <c r="O72" s="127">
        <v>3830</v>
      </c>
      <c r="P72" s="122">
        <v>3830</v>
      </c>
      <c r="Q72" s="124"/>
      <c r="R72" s="127">
        <v>3553.3</v>
      </c>
      <c r="S72" s="122">
        <v>3553.3</v>
      </c>
      <c r="T72" s="124"/>
      <c r="U72" s="127">
        <v>3553.3</v>
      </c>
      <c r="V72" s="122">
        <v>3553.3</v>
      </c>
      <c r="W72" s="124"/>
      <c r="X72" s="45"/>
      <c r="Y72" s="42"/>
      <c r="Z72" s="42"/>
      <c r="AA72" s="42"/>
      <c r="AB72" s="42"/>
      <c r="AC72" s="42"/>
      <c r="AD72" s="42"/>
    </row>
    <row r="73" spans="1:30" s="43" customFormat="1" ht="409.5">
      <c r="A73" s="41"/>
      <c r="B73" s="40"/>
      <c r="C73" s="118" t="s">
        <v>297</v>
      </c>
      <c r="D73" s="120"/>
      <c r="E73" s="119"/>
      <c r="F73" s="121"/>
      <c r="G73" s="120" t="s">
        <v>473</v>
      </c>
      <c r="H73" s="121" t="s">
        <v>455</v>
      </c>
      <c r="I73" s="121" t="s">
        <v>474</v>
      </c>
      <c r="J73" s="101" t="s">
        <v>22</v>
      </c>
      <c r="K73" s="101" t="s">
        <v>23</v>
      </c>
      <c r="L73" s="122">
        <v>2849.8</v>
      </c>
      <c r="M73" s="122">
        <v>2849.8</v>
      </c>
      <c r="N73" s="122"/>
      <c r="O73" s="127"/>
      <c r="P73" s="122"/>
      <c r="Q73" s="124"/>
      <c r="R73" s="127"/>
      <c r="S73" s="122"/>
      <c r="T73" s="124"/>
      <c r="U73" s="127"/>
      <c r="V73" s="122"/>
      <c r="W73" s="124"/>
      <c r="X73" s="45"/>
      <c r="Y73" s="42"/>
      <c r="Z73" s="42"/>
      <c r="AA73" s="42"/>
      <c r="AB73" s="42"/>
      <c r="AC73" s="42"/>
      <c r="AD73" s="42"/>
    </row>
    <row r="74" spans="1:30" s="43" customFormat="1" ht="409.5">
      <c r="A74" s="41"/>
      <c r="B74" s="40"/>
      <c r="C74" s="118" t="s">
        <v>298</v>
      </c>
      <c r="D74" s="120"/>
      <c r="E74" s="119"/>
      <c r="F74" s="121"/>
      <c r="G74" s="120" t="s">
        <v>473</v>
      </c>
      <c r="H74" s="121" t="s">
        <v>455</v>
      </c>
      <c r="I74" s="121" t="s">
        <v>474</v>
      </c>
      <c r="J74" s="101" t="s">
        <v>22</v>
      </c>
      <c r="K74" s="101" t="s">
        <v>23</v>
      </c>
      <c r="L74" s="122">
        <v>28.6</v>
      </c>
      <c r="M74" s="122">
        <v>28.6</v>
      </c>
      <c r="N74" s="122"/>
      <c r="O74" s="127"/>
      <c r="P74" s="122"/>
      <c r="Q74" s="124"/>
      <c r="R74" s="127"/>
      <c r="S74" s="122"/>
      <c r="T74" s="124"/>
      <c r="U74" s="127"/>
      <c r="V74" s="122"/>
      <c r="W74" s="124"/>
      <c r="X74" s="45"/>
      <c r="Y74" s="42"/>
      <c r="Z74" s="42"/>
      <c r="AA74" s="42"/>
      <c r="AB74" s="42"/>
      <c r="AC74" s="42"/>
      <c r="AD74" s="42"/>
    </row>
    <row r="75" spans="1:30" s="43" customFormat="1" ht="114.75">
      <c r="A75" s="41"/>
      <c r="B75" s="53"/>
      <c r="C75" s="80" t="s">
        <v>207</v>
      </c>
      <c r="D75" s="61" t="s">
        <v>19</v>
      </c>
      <c r="E75" s="61" t="s">
        <v>19</v>
      </c>
      <c r="F75" s="61" t="s">
        <v>19</v>
      </c>
      <c r="G75" s="61" t="s">
        <v>19</v>
      </c>
      <c r="H75" s="61" t="s">
        <v>19</v>
      </c>
      <c r="I75" s="61" t="s">
        <v>19</v>
      </c>
      <c r="J75" s="62" t="s">
        <v>19</v>
      </c>
      <c r="K75" s="62" t="s">
        <v>19</v>
      </c>
      <c r="L75" s="2">
        <f aca="true" t="shared" si="6" ref="L75:T75">L76+L77+L78+L81+L84</f>
        <v>70087.2</v>
      </c>
      <c r="M75" s="2">
        <f t="shared" si="6"/>
        <v>69863.4</v>
      </c>
      <c r="N75" s="2">
        <f t="shared" si="6"/>
        <v>81739.1</v>
      </c>
      <c r="O75" s="2">
        <f t="shared" si="6"/>
        <v>66286.5</v>
      </c>
      <c r="P75" s="2">
        <f t="shared" si="6"/>
        <v>66286.5</v>
      </c>
      <c r="Q75" s="2">
        <f t="shared" si="6"/>
        <v>0</v>
      </c>
      <c r="R75" s="2">
        <f t="shared" si="6"/>
        <v>64801.600000000006</v>
      </c>
      <c r="S75" s="2">
        <f t="shared" si="6"/>
        <v>64801.600000000006</v>
      </c>
      <c r="T75" s="2">
        <f t="shared" si="6"/>
        <v>0</v>
      </c>
      <c r="U75" s="2">
        <f>U76+U77+U78+U81+U84</f>
        <v>64801.600000000006</v>
      </c>
      <c r="V75" s="2">
        <f>V76+V77+V78+V81+V84</f>
        <v>64801.600000000006</v>
      </c>
      <c r="W75" s="2">
        <f>W76+W77+W78+W81+W84</f>
        <v>0</v>
      </c>
      <c r="X75" s="41"/>
      <c r="Y75" s="42"/>
      <c r="Z75" s="42"/>
      <c r="AA75" s="42"/>
      <c r="AB75" s="42"/>
      <c r="AC75" s="42"/>
      <c r="AD75" s="42"/>
    </row>
    <row r="76" spans="1:30" s="43" customFormat="1" ht="157.5">
      <c r="A76" s="41"/>
      <c r="B76" s="53"/>
      <c r="C76" s="118" t="s">
        <v>208</v>
      </c>
      <c r="D76" s="99" t="s">
        <v>36</v>
      </c>
      <c r="E76" s="99" t="s">
        <v>313</v>
      </c>
      <c r="F76" s="99" t="s">
        <v>159</v>
      </c>
      <c r="G76" s="134" t="s">
        <v>470</v>
      </c>
      <c r="H76" s="134" t="s">
        <v>471</v>
      </c>
      <c r="I76" s="134" t="s">
        <v>472</v>
      </c>
      <c r="J76" s="135" t="s">
        <v>314</v>
      </c>
      <c r="K76" s="135" t="s">
        <v>21</v>
      </c>
      <c r="L76" s="136">
        <v>23854</v>
      </c>
      <c r="M76" s="136">
        <v>23854</v>
      </c>
      <c r="N76" s="138">
        <v>25256</v>
      </c>
      <c r="O76" s="138">
        <f>P76+Q76</f>
        <v>22468.1</v>
      </c>
      <c r="P76" s="138">
        <v>22468.1</v>
      </c>
      <c r="Q76" s="138">
        <v>0</v>
      </c>
      <c r="R76" s="138">
        <f>S76+T76</f>
        <v>22527.8</v>
      </c>
      <c r="S76" s="138">
        <v>22527.8</v>
      </c>
      <c r="T76" s="138">
        <v>0</v>
      </c>
      <c r="U76" s="138">
        <f>V76+W76</f>
        <v>22527.8</v>
      </c>
      <c r="V76" s="138">
        <v>22527.8</v>
      </c>
      <c r="W76" s="138">
        <v>0</v>
      </c>
      <c r="X76" s="41"/>
      <c r="Y76" s="42"/>
      <c r="Z76" s="42"/>
      <c r="AA76" s="42"/>
      <c r="AB76" s="42"/>
      <c r="AC76" s="42"/>
      <c r="AD76" s="42"/>
    </row>
    <row r="77" spans="1:30" s="43" customFormat="1" ht="22.5">
      <c r="A77" s="41"/>
      <c r="B77" s="53"/>
      <c r="C77" s="60" t="s">
        <v>209</v>
      </c>
      <c r="D77" s="48"/>
      <c r="E77" s="48"/>
      <c r="F77" s="48"/>
      <c r="G77" s="48"/>
      <c r="H77" s="48"/>
      <c r="I77" s="48"/>
      <c r="J77" s="48"/>
      <c r="K77" s="48"/>
      <c r="L77" s="48"/>
      <c r="M77" s="48"/>
      <c r="N77" s="48"/>
      <c r="O77" s="48"/>
      <c r="P77" s="48"/>
      <c r="Q77" s="48"/>
      <c r="R77" s="48"/>
      <c r="S77" s="48"/>
      <c r="T77" s="48"/>
      <c r="U77" s="48"/>
      <c r="V77" s="48"/>
      <c r="W77" s="48"/>
      <c r="X77" s="41"/>
      <c r="Y77" s="42"/>
      <c r="Z77" s="42"/>
      <c r="AA77" s="42"/>
      <c r="AB77" s="42"/>
      <c r="AC77" s="42"/>
      <c r="AD77" s="42"/>
    </row>
    <row r="78" spans="1:30" s="43" customFormat="1" ht="135">
      <c r="A78" s="41"/>
      <c r="B78" s="53"/>
      <c r="C78" s="118" t="s">
        <v>210</v>
      </c>
      <c r="D78" s="140"/>
      <c r="E78" s="140"/>
      <c r="F78" s="140"/>
      <c r="G78" s="141" t="s">
        <v>475</v>
      </c>
      <c r="H78" s="142" t="s">
        <v>283</v>
      </c>
      <c r="I78" s="143" t="s">
        <v>315</v>
      </c>
      <c r="J78" s="132" t="s">
        <v>93</v>
      </c>
      <c r="K78" s="132" t="s">
        <v>25</v>
      </c>
      <c r="L78" s="136">
        <v>375.5</v>
      </c>
      <c r="M78" s="137">
        <v>375.5</v>
      </c>
      <c r="N78" s="138">
        <v>384.8</v>
      </c>
      <c r="O78" s="138">
        <f>P78+Q78</f>
        <v>397.1</v>
      </c>
      <c r="P78" s="138">
        <v>397.1</v>
      </c>
      <c r="Q78" s="138">
        <v>0</v>
      </c>
      <c r="R78" s="138">
        <f>S78+T78</f>
        <v>410.4</v>
      </c>
      <c r="S78" s="138">
        <v>410.4</v>
      </c>
      <c r="T78" s="138">
        <v>0</v>
      </c>
      <c r="U78" s="138">
        <f>V78+W78</f>
        <v>410.4</v>
      </c>
      <c r="V78" s="138">
        <v>410.4</v>
      </c>
      <c r="W78" s="138">
        <v>0</v>
      </c>
      <c r="X78" s="41"/>
      <c r="Y78" s="42"/>
      <c r="Z78" s="42"/>
      <c r="AA78" s="42"/>
      <c r="AB78" s="42"/>
      <c r="AC78" s="42"/>
      <c r="AD78" s="42"/>
    </row>
    <row r="79" spans="1:30" s="43" customFormat="1" ht="12.75">
      <c r="A79" s="41"/>
      <c r="B79" s="53"/>
      <c r="C79" s="60" t="s">
        <v>211</v>
      </c>
      <c r="D79" s="47"/>
      <c r="E79" s="47"/>
      <c r="F79" s="47"/>
      <c r="G79" s="47"/>
      <c r="H79" s="47"/>
      <c r="I79" s="47"/>
      <c r="J79" s="47"/>
      <c r="K79" s="47"/>
      <c r="L79" s="47"/>
      <c r="M79" s="47"/>
      <c r="N79" s="47"/>
      <c r="O79" s="47"/>
      <c r="P79" s="47"/>
      <c r="Q79" s="47"/>
      <c r="R79" s="47"/>
      <c r="S79" s="47"/>
      <c r="T79" s="47"/>
      <c r="U79" s="47"/>
      <c r="V79" s="47"/>
      <c r="W79" s="47"/>
      <c r="X79" s="41"/>
      <c r="Y79" s="42"/>
      <c r="Z79" s="42"/>
      <c r="AA79" s="42"/>
      <c r="AB79" s="42"/>
      <c r="AC79" s="42"/>
      <c r="AD79" s="42"/>
    </row>
    <row r="80" spans="1:30" s="43" customFormat="1" ht="12.75">
      <c r="A80" s="41"/>
      <c r="B80" s="53"/>
      <c r="C80" s="60" t="s">
        <v>7</v>
      </c>
      <c r="D80" s="48"/>
      <c r="E80" s="48"/>
      <c r="F80" s="48"/>
      <c r="G80" s="48"/>
      <c r="H80" s="48"/>
      <c r="I80" s="48"/>
      <c r="J80" s="48"/>
      <c r="K80" s="48"/>
      <c r="L80" s="48"/>
      <c r="M80" s="48"/>
      <c r="N80" s="48"/>
      <c r="O80" s="48"/>
      <c r="P80" s="48"/>
      <c r="Q80" s="48"/>
      <c r="R80" s="48"/>
      <c r="S80" s="48"/>
      <c r="T80" s="48"/>
      <c r="U80" s="48"/>
      <c r="V80" s="48"/>
      <c r="W80" s="48"/>
      <c r="X80" s="41"/>
      <c r="Y80" s="42"/>
      <c r="Z80" s="42"/>
      <c r="AA80" s="42"/>
      <c r="AB80" s="42"/>
      <c r="AC80" s="42"/>
      <c r="AD80" s="42"/>
    </row>
    <row r="81" spans="1:30" s="43" customFormat="1" ht="22.5">
      <c r="A81" s="41"/>
      <c r="B81" s="53"/>
      <c r="C81" s="60" t="s">
        <v>212</v>
      </c>
      <c r="D81" s="47" t="s">
        <v>19</v>
      </c>
      <c r="E81" s="47" t="s">
        <v>19</v>
      </c>
      <c r="F81" s="47" t="s">
        <v>19</v>
      </c>
      <c r="G81" s="47" t="s">
        <v>19</v>
      </c>
      <c r="H81" s="47" t="s">
        <v>19</v>
      </c>
      <c r="I81" s="47" t="s">
        <v>19</v>
      </c>
      <c r="J81" s="47" t="s">
        <v>19</v>
      </c>
      <c r="K81" s="47" t="s">
        <v>19</v>
      </c>
      <c r="L81" s="52">
        <f aca="true" t="shared" si="7" ref="L81:T81">L82+L83</f>
        <v>44876.3</v>
      </c>
      <c r="M81" s="52">
        <f t="shared" si="7"/>
        <v>44652.5</v>
      </c>
      <c r="N81" s="52">
        <f t="shared" si="7"/>
        <v>56098.3</v>
      </c>
      <c r="O81" s="52">
        <f t="shared" si="7"/>
        <v>43421.3</v>
      </c>
      <c r="P81" s="52">
        <f t="shared" si="7"/>
        <v>43421.3</v>
      </c>
      <c r="Q81" s="52">
        <f t="shared" si="7"/>
        <v>0</v>
      </c>
      <c r="R81" s="52">
        <f t="shared" si="7"/>
        <v>41863.4</v>
      </c>
      <c r="S81" s="52">
        <f t="shared" si="7"/>
        <v>41863.4</v>
      </c>
      <c r="T81" s="52">
        <f t="shared" si="7"/>
        <v>0</v>
      </c>
      <c r="U81" s="52">
        <f>U82+U83</f>
        <v>41863.4</v>
      </c>
      <c r="V81" s="52">
        <f>V82+V83</f>
        <v>41863.4</v>
      </c>
      <c r="W81" s="52">
        <f>W82+W83</f>
        <v>0</v>
      </c>
      <c r="X81" s="41"/>
      <c r="Y81" s="42"/>
      <c r="Z81" s="42"/>
      <c r="AA81" s="42"/>
      <c r="AB81" s="42"/>
      <c r="AC81" s="42"/>
      <c r="AD81" s="42"/>
    </row>
    <row r="82" spans="1:30" s="43" customFormat="1" ht="78.75">
      <c r="A82" s="41"/>
      <c r="B82" s="53"/>
      <c r="C82" s="60" t="s">
        <v>213</v>
      </c>
      <c r="D82" s="47" t="s">
        <v>19</v>
      </c>
      <c r="E82" s="47" t="s">
        <v>19</v>
      </c>
      <c r="F82" s="47" t="s">
        <v>19</v>
      </c>
      <c r="G82" s="47" t="s">
        <v>19</v>
      </c>
      <c r="H82" s="47" t="s">
        <v>19</v>
      </c>
      <c r="I82" s="47" t="s">
        <v>19</v>
      </c>
      <c r="J82" s="47" t="s">
        <v>19</v>
      </c>
      <c r="K82" s="47" t="s">
        <v>19</v>
      </c>
      <c r="L82" s="48"/>
      <c r="M82" s="48"/>
      <c r="N82" s="48"/>
      <c r="O82" s="48"/>
      <c r="P82" s="48"/>
      <c r="Q82" s="48"/>
      <c r="R82" s="48"/>
      <c r="S82" s="48"/>
      <c r="T82" s="48"/>
      <c r="U82" s="48"/>
      <c r="V82" s="48"/>
      <c r="W82" s="48"/>
      <c r="X82" s="41"/>
      <c r="Y82" s="42"/>
      <c r="Z82" s="42"/>
      <c r="AA82" s="42"/>
      <c r="AB82" s="42"/>
      <c r="AC82" s="42"/>
      <c r="AD82" s="42"/>
    </row>
    <row r="83" spans="1:30" s="43" customFormat="1" ht="360">
      <c r="A83" s="41"/>
      <c r="B83" s="94"/>
      <c r="C83" s="81" t="s">
        <v>206</v>
      </c>
      <c r="D83" s="64" t="s">
        <v>222</v>
      </c>
      <c r="E83" s="64" t="s">
        <v>225</v>
      </c>
      <c r="F83" s="64" t="s">
        <v>223</v>
      </c>
      <c r="G83" s="150" t="s">
        <v>476</v>
      </c>
      <c r="H83" s="150" t="s">
        <v>477</v>
      </c>
      <c r="I83" s="150" t="s">
        <v>478</v>
      </c>
      <c r="J83" s="93" t="s">
        <v>251</v>
      </c>
      <c r="K83" s="93" t="s">
        <v>252</v>
      </c>
      <c r="L83" s="46">
        <f>11308.2+33568.1</f>
        <v>44876.3</v>
      </c>
      <c r="M83" s="46">
        <f>11084.4+33568.1</f>
        <v>44652.5</v>
      </c>
      <c r="N83" s="46">
        <f>20942.9+35155.4</f>
        <v>56098.3</v>
      </c>
      <c r="O83" s="46">
        <f>P83+Q83</f>
        <v>43421.3</v>
      </c>
      <c r="P83" s="46">
        <f>10109+33312.3</f>
        <v>43421.3</v>
      </c>
      <c r="Q83" s="46"/>
      <c r="R83" s="46">
        <f>S83+T83</f>
        <v>41863.4</v>
      </c>
      <c r="S83" s="46">
        <f>10463.9+31399.5</f>
        <v>41863.4</v>
      </c>
      <c r="T83" s="46"/>
      <c r="U83" s="147">
        <f>V83+W83</f>
        <v>41863.4</v>
      </c>
      <c r="V83" s="147">
        <f>10463.9+31399.5</f>
        <v>41863.4</v>
      </c>
      <c r="W83" s="147"/>
      <c r="X83" s="41"/>
      <c r="Y83" s="42"/>
      <c r="Z83" s="42"/>
      <c r="AA83" s="42"/>
      <c r="AB83" s="42"/>
      <c r="AC83" s="42"/>
      <c r="AD83" s="42"/>
    </row>
    <row r="84" spans="1:30" s="43" customFormat="1" ht="12.75">
      <c r="A84" s="41"/>
      <c r="B84" s="94"/>
      <c r="C84" s="131" t="s">
        <v>299</v>
      </c>
      <c r="D84" s="130"/>
      <c r="E84" s="130"/>
      <c r="F84" s="130"/>
      <c r="G84" s="130"/>
      <c r="H84" s="130"/>
      <c r="I84" s="101"/>
      <c r="J84" s="130"/>
      <c r="K84" s="130"/>
      <c r="L84" s="124">
        <f>L85+L86</f>
        <v>981.4</v>
      </c>
      <c r="M84" s="124">
        <f>M85+M86</f>
        <v>981.4</v>
      </c>
      <c r="N84" s="124">
        <f aca="true" t="shared" si="8" ref="N84:T84">N85+N86</f>
        <v>0</v>
      </c>
      <c r="O84" s="124">
        <f t="shared" si="8"/>
        <v>0</v>
      </c>
      <c r="P84" s="124">
        <f t="shared" si="8"/>
        <v>0</v>
      </c>
      <c r="Q84" s="124">
        <f t="shared" si="8"/>
        <v>0</v>
      </c>
      <c r="R84" s="124">
        <f t="shared" si="8"/>
        <v>0</v>
      </c>
      <c r="S84" s="124">
        <f t="shared" si="8"/>
        <v>0</v>
      </c>
      <c r="T84" s="124">
        <f t="shared" si="8"/>
        <v>0</v>
      </c>
      <c r="U84" s="124">
        <f>U85+U86</f>
        <v>0</v>
      </c>
      <c r="V84" s="124">
        <f>V85+V86</f>
        <v>0</v>
      </c>
      <c r="W84" s="124">
        <f>W85+W86</f>
        <v>0</v>
      </c>
      <c r="X84" s="41"/>
      <c r="Y84" s="42"/>
      <c r="Z84" s="42"/>
      <c r="AA84" s="42"/>
      <c r="AB84" s="42"/>
      <c r="AC84" s="42"/>
      <c r="AD84" s="42"/>
    </row>
    <row r="85" spans="1:30" s="43" customFormat="1" ht="168.75">
      <c r="A85" s="41"/>
      <c r="B85" s="94"/>
      <c r="C85" s="129" t="s">
        <v>301</v>
      </c>
      <c r="D85" s="130"/>
      <c r="E85" s="130"/>
      <c r="F85" s="130"/>
      <c r="G85" s="131" t="s">
        <v>481</v>
      </c>
      <c r="H85" s="130" t="s">
        <v>283</v>
      </c>
      <c r="I85" s="121" t="s">
        <v>302</v>
      </c>
      <c r="J85" s="132" t="s">
        <v>23</v>
      </c>
      <c r="K85" s="132" t="s">
        <v>25</v>
      </c>
      <c r="L85" s="101" t="s">
        <v>300</v>
      </c>
      <c r="M85" s="101" t="s">
        <v>300</v>
      </c>
      <c r="N85" s="133"/>
      <c r="O85" s="101"/>
      <c r="P85" s="101"/>
      <c r="Q85" s="101"/>
      <c r="R85" s="101"/>
      <c r="S85" s="101"/>
      <c r="T85" s="101"/>
      <c r="U85" s="101"/>
      <c r="V85" s="101"/>
      <c r="W85" s="101"/>
      <c r="X85" s="41"/>
      <c r="Y85" s="42"/>
      <c r="Z85" s="42"/>
      <c r="AA85" s="42"/>
      <c r="AB85" s="42"/>
      <c r="AC85" s="42"/>
      <c r="AD85" s="42"/>
    </row>
    <row r="86" spans="1:30" s="43" customFormat="1" ht="146.25">
      <c r="A86" s="41"/>
      <c r="B86" s="53"/>
      <c r="C86" s="118" t="s">
        <v>316</v>
      </c>
      <c r="D86" s="64" t="s">
        <v>222</v>
      </c>
      <c r="E86" s="64" t="s">
        <v>225</v>
      </c>
      <c r="F86" s="64" t="s">
        <v>223</v>
      </c>
      <c r="G86" s="143" t="s">
        <v>479</v>
      </c>
      <c r="H86" s="142" t="s">
        <v>283</v>
      </c>
      <c r="I86" s="143" t="s">
        <v>480</v>
      </c>
      <c r="J86" s="97" t="s">
        <v>314</v>
      </c>
      <c r="K86" s="97" t="s">
        <v>25</v>
      </c>
      <c r="L86" s="136">
        <v>900</v>
      </c>
      <c r="M86" s="136">
        <v>900</v>
      </c>
      <c r="N86" s="138"/>
      <c r="O86" s="138"/>
      <c r="P86" s="138"/>
      <c r="Q86" s="138"/>
      <c r="R86" s="138"/>
      <c r="S86" s="138"/>
      <c r="T86" s="138"/>
      <c r="U86" s="138"/>
      <c r="V86" s="138"/>
      <c r="W86" s="138"/>
      <c r="X86" s="41"/>
      <c r="Y86" s="42"/>
      <c r="Z86" s="42"/>
      <c r="AA86" s="42"/>
      <c r="AB86" s="42"/>
      <c r="AC86" s="42"/>
      <c r="AD86" s="42"/>
    </row>
    <row r="87" spans="2:23" s="43" customFormat="1" ht="25.5">
      <c r="B87" s="53"/>
      <c r="C87" s="82" t="s">
        <v>18</v>
      </c>
      <c r="D87" s="83"/>
      <c r="E87" s="83"/>
      <c r="F87" s="83"/>
      <c r="G87" s="83"/>
      <c r="H87" s="83"/>
      <c r="I87" s="83"/>
      <c r="J87" s="84"/>
      <c r="K87" s="84"/>
      <c r="L87" s="39">
        <f>L41+L33+L9+L75</f>
        <v>671020.6</v>
      </c>
      <c r="M87" s="39">
        <f>M41+M33+M9+M75</f>
        <v>639738.1</v>
      </c>
      <c r="N87" s="39">
        <f>N41+N33+N9+N75</f>
        <v>622953.2</v>
      </c>
      <c r="O87" s="39">
        <f>O41+O33+O9+O75</f>
        <v>514721.8</v>
      </c>
      <c r="P87" s="39">
        <f>P41+P33+P9+P75</f>
        <v>514721.8</v>
      </c>
      <c r="Q87" s="39">
        <f>Q41+Q33+Q9</f>
        <v>0</v>
      </c>
      <c r="R87" s="39">
        <f>R41+R33+R9+R75</f>
        <v>490021</v>
      </c>
      <c r="S87" s="39">
        <f>S41+S33+S9+S75</f>
        <v>490021</v>
      </c>
      <c r="T87" s="39">
        <f>T41+T33+T9</f>
        <v>0</v>
      </c>
      <c r="U87" s="39">
        <f>U41+U33+U9+U75</f>
        <v>490021</v>
      </c>
      <c r="V87" s="39">
        <f>V41+V33+V9+V75</f>
        <v>490021</v>
      </c>
      <c r="W87" s="39">
        <f>W41+W33+W9</f>
        <v>0</v>
      </c>
    </row>
    <row r="88" spans="3:17" ht="12.75">
      <c r="C88" s="85"/>
      <c r="D88" s="86"/>
      <c r="E88" s="86"/>
      <c r="F88" s="86"/>
      <c r="G88" s="86"/>
      <c r="H88" s="86"/>
      <c r="I88" s="86"/>
      <c r="J88" s="87"/>
      <c r="K88" s="87"/>
      <c r="L88" s="86"/>
      <c r="M88" s="86"/>
      <c r="N88" s="86"/>
      <c r="O88" s="86"/>
      <c r="P88" s="86"/>
      <c r="Q88" s="86"/>
    </row>
    <row r="89" spans="3:18" ht="12.75">
      <c r="C89" s="85"/>
      <c r="D89" s="86"/>
      <c r="E89" s="86"/>
      <c r="F89" s="86"/>
      <c r="G89" s="86"/>
      <c r="H89" s="86"/>
      <c r="I89" s="86"/>
      <c r="J89" s="87"/>
      <c r="K89" s="87"/>
      <c r="L89" s="112"/>
      <c r="M89" s="112"/>
      <c r="N89" s="112"/>
      <c r="O89" s="112"/>
      <c r="P89" s="86"/>
      <c r="Q89" s="86"/>
      <c r="R89" s="144"/>
    </row>
    <row r="90" spans="3:17" ht="12.75">
      <c r="C90" s="85"/>
      <c r="D90" s="86"/>
      <c r="E90" s="86"/>
      <c r="F90" s="86"/>
      <c r="G90" s="86"/>
      <c r="H90" s="86"/>
      <c r="I90" s="86"/>
      <c r="J90" s="87"/>
      <c r="K90" s="87"/>
      <c r="L90" s="86"/>
      <c r="M90" s="86"/>
      <c r="N90" s="86"/>
      <c r="O90" s="86"/>
      <c r="P90" s="86"/>
      <c r="Q90" s="86"/>
    </row>
    <row r="91" spans="3:17" ht="12.75">
      <c r="C91" s="85"/>
      <c r="D91" s="177"/>
      <c r="E91" s="178"/>
      <c r="F91" s="178"/>
      <c r="G91" s="86"/>
      <c r="H91" s="86"/>
      <c r="I91" s="86"/>
      <c r="J91" s="87"/>
      <c r="K91" s="87"/>
      <c r="L91" s="86"/>
      <c r="M91" s="86"/>
      <c r="N91" s="86"/>
      <c r="O91" s="86"/>
      <c r="P91" s="86"/>
      <c r="Q91" s="86"/>
    </row>
    <row r="92" spans="3:17" ht="12.75">
      <c r="C92" s="85"/>
      <c r="D92" s="86"/>
      <c r="E92" s="86"/>
      <c r="F92" s="86"/>
      <c r="G92" s="86"/>
      <c r="H92" s="86"/>
      <c r="I92" s="86"/>
      <c r="J92" s="87"/>
      <c r="K92" s="87"/>
      <c r="L92" s="86"/>
      <c r="M92" s="86"/>
      <c r="N92" s="86"/>
      <c r="O92" s="86"/>
      <c r="P92" s="86"/>
      <c r="Q92" s="86"/>
    </row>
    <row r="93" spans="3:17" ht="12.75">
      <c r="C93" s="85"/>
      <c r="D93" s="86"/>
      <c r="E93" s="86"/>
      <c r="F93" s="86"/>
      <c r="G93" s="86"/>
      <c r="H93" s="86"/>
      <c r="I93" s="86"/>
      <c r="J93" s="87"/>
      <c r="K93" s="87"/>
      <c r="L93" s="86"/>
      <c r="M93" s="86"/>
      <c r="N93" s="86"/>
      <c r="O93" s="86"/>
      <c r="P93" s="86"/>
      <c r="Q93" s="86"/>
    </row>
    <row r="94" spans="3:17" ht="12.75">
      <c r="C94" s="85"/>
      <c r="D94" s="86"/>
      <c r="E94" s="86"/>
      <c r="F94" s="86"/>
      <c r="G94" s="86"/>
      <c r="H94" s="86"/>
      <c r="I94" s="86"/>
      <c r="J94" s="87"/>
      <c r="K94" s="87"/>
      <c r="L94" s="86"/>
      <c r="M94" s="86"/>
      <c r="N94" s="86"/>
      <c r="O94" s="86"/>
      <c r="P94" s="86"/>
      <c r="Q94" s="86"/>
    </row>
    <row r="95" spans="3:17" ht="12.75">
      <c r="C95" s="85"/>
      <c r="D95" s="86"/>
      <c r="E95" s="86"/>
      <c r="F95" s="86"/>
      <c r="G95" s="86"/>
      <c r="H95" s="86"/>
      <c r="I95" s="86"/>
      <c r="J95" s="87"/>
      <c r="K95" s="87"/>
      <c r="L95" s="86"/>
      <c r="M95" s="86"/>
      <c r="N95" s="86"/>
      <c r="O95" s="86"/>
      <c r="P95" s="86"/>
      <c r="Q95" s="86"/>
    </row>
  </sheetData>
  <sheetProtection/>
  <mergeCells count="76">
    <mergeCell ref="W25:W26"/>
    <mergeCell ref="Q25:Q26"/>
    <mergeCell ref="R25:R26"/>
    <mergeCell ref="S25:S26"/>
    <mergeCell ref="T25:T26"/>
    <mergeCell ref="U25:U26"/>
    <mergeCell ref="V25:V26"/>
    <mergeCell ref="J25:J26"/>
    <mergeCell ref="K25:K26"/>
    <mergeCell ref="L25:L26"/>
    <mergeCell ref="M25:M26"/>
    <mergeCell ref="N25:N26"/>
    <mergeCell ref="O25:O26"/>
    <mergeCell ref="C25:C26"/>
    <mergeCell ref="D25:D26"/>
    <mergeCell ref="E25:E26"/>
    <mergeCell ref="F25:F26"/>
    <mergeCell ref="D91:F91"/>
    <mergeCell ref="W9:W10"/>
    <mergeCell ref="S9:S10"/>
    <mergeCell ref="T41:T42"/>
    <mergeCell ref="Q41:Q42"/>
    <mergeCell ref="Q9:Q10"/>
    <mergeCell ref="P41:P42"/>
    <mergeCell ref="U41:U42"/>
    <mergeCell ref="R9:R10"/>
    <mergeCell ref="U9:U10"/>
    <mergeCell ref="H3:L3"/>
    <mergeCell ref="V9:V10"/>
    <mergeCell ref="V41:V42"/>
    <mergeCell ref="M9:M10"/>
    <mergeCell ref="N9:N10"/>
    <mergeCell ref="U6:W6"/>
    <mergeCell ref="W41:W42"/>
    <mergeCell ref="N6:N7"/>
    <mergeCell ref="G6:I6"/>
    <mergeCell ref="L6:M6"/>
    <mergeCell ref="L9:L10"/>
    <mergeCell ref="S41:S42"/>
    <mergeCell ref="N41:N42"/>
    <mergeCell ref="P9:P10"/>
    <mergeCell ref="L41:L42"/>
    <mergeCell ref="M41:M42"/>
    <mergeCell ref="O41:O42"/>
    <mergeCell ref="R41:R42"/>
    <mergeCell ref="O9:O10"/>
    <mergeCell ref="P25:P26"/>
    <mergeCell ref="B41:B42"/>
    <mergeCell ref="D9:D10"/>
    <mergeCell ref="E9:E10"/>
    <mergeCell ref="J9:J10"/>
    <mergeCell ref="G41:G42"/>
    <mergeCell ref="H41:H42"/>
    <mergeCell ref="F41:F42"/>
    <mergeCell ref="C41:C42"/>
    <mergeCell ref="C9:C10"/>
    <mergeCell ref="D41:D42"/>
    <mergeCell ref="B1:W1"/>
    <mergeCell ref="B5:C7"/>
    <mergeCell ref="D5:I5"/>
    <mergeCell ref="L5:W5"/>
    <mergeCell ref="D6:F6"/>
    <mergeCell ref="T9:T10"/>
    <mergeCell ref="F9:F10"/>
    <mergeCell ref="O6:Q6"/>
    <mergeCell ref="R6:T6"/>
    <mergeCell ref="B9:B10"/>
    <mergeCell ref="E41:E42"/>
    <mergeCell ref="J5:K6"/>
    <mergeCell ref="G9:G10"/>
    <mergeCell ref="H9:H10"/>
    <mergeCell ref="K41:K42"/>
    <mergeCell ref="I41:I42"/>
    <mergeCell ref="J41:J42"/>
    <mergeCell ref="I9:I10"/>
    <mergeCell ref="K9:K10"/>
  </mergeCells>
  <printOptions horizontalCentered="1"/>
  <pageMargins left="0.2362204724409449" right="0.2362204724409449" top="0" bottom="0.15748031496062992" header="0" footer="0.15748031496062992"/>
  <pageSetup firstPageNumber="21" useFirstPageNumber="1" fitToHeight="9" horizontalDpi="600" verticalDpi="600" orientation="landscape" paperSize="9" scale="45" r:id="rId1"/>
  <rowBreaks count="1" manualBreakCount="1">
    <brk id="37" min="2" max="22" man="1"/>
  </rowBreaks>
</worksheet>
</file>

<file path=xl/worksheets/sheet2.xml><?xml version="1.0" encoding="utf-8"?>
<worksheet xmlns="http://schemas.openxmlformats.org/spreadsheetml/2006/main" xmlns:r="http://schemas.openxmlformats.org/officeDocument/2006/relationships">
  <dimension ref="A1:L111"/>
  <sheetViews>
    <sheetView zoomScalePageLayoutView="0" workbookViewId="0" topLeftCell="A1">
      <selection activeCell="B13" sqref="B13"/>
    </sheetView>
  </sheetViews>
  <sheetFormatPr defaultColWidth="9.00390625" defaultRowHeight="12.75"/>
  <cols>
    <col min="1" max="1" width="11.00390625" style="16" customWidth="1"/>
    <col min="2" max="2" width="13.25390625" style="16" customWidth="1"/>
    <col min="3" max="3" width="15.125" style="8" customWidth="1"/>
    <col min="4" max="4" width="13.625" style="8" customWidth="1"/>
    <col min="5" max="5" width="9.625" style="8" bestFit="1" customWidth="1"/>
    <col min="6" max="7" width="37.75390625" style="8" customWidth="1"/>
    <col min="8" max="8" width="7.75390625" style="8" customWidth="1"/>
    <col min="9" max="16384" width="9.125" style="8" customWidth="1"/>
  </cols>
  <sheetData>
    <row r="1" spans="1:8" ht="12.75">
      <c r="A1" s="5"/>
      <c r="B1" s="5"/>
      <c r="C1" s="184" t="s">
        <v>40</v>
      </c>
      <c r="D1" s="184"/>
      <c r="E1" s="184"/>
      <c r="F1" s="6"/>
      <c r="G1" s="6"/>
      <c r="H1" s="7"/>
    </row>
    <row r="2" spans="1:8" ht="12.75">
      <c r="A2" s="5"/>
      <c r="B2" s="185">
        <v>2015</v>
      </c>
      <c r="C2" s="186"/>
      <c r="D2" s="18">
        <v>2016</v>
      </c>
      <c r="E2" s="9"/>
      <c r="F2" s="9"/>
      <c r="G2" s="9"/>
      <c r="H2" s="7"/>
    </row>
    <row r="3" spans="1:8" ht="12.75">
      <c r="A3" s="5"/>
      <c r="B3" s="18" t="s">
        <v>76</v>
      </c>
      <c r="C3" s="17" t="s">
        <v>77</v>
      </c>
      <c r="D3" s="9"/>
      <c r="E3" s="9"/>
      <c r="F3" s="9"/>
      <c r="G3" s="9"/>
      <c r="H3" s="7"/>
    </row>
    <row r="4" spans="1:8" ht="12.75">
      <c r="A4" s="26" t="s">
        <v>84</v>
      </c>
      <c r="B4" s="31">
        <f>9228864.5-933484.6</f>
        <v>8295379.9</v>
      </c>
      <c r="C4" s="31">
        <f>9166497.19-797954.49</f>
        <v>8368542.699999999</v>
      </c>
      <c r="D4" s="19">
        <f>9159400-897730.27</f>
        <v>8261669.73</v>
      </c>
      <c r="E4" s="9"/>
      <c r="F4" s="9"/>
      <c r="G4" s="9"/>
      <c r="H4" s="7"/>
    </row>
    <row r="5" spans="1:8" ht="12.75">
      <c r="A5" s="26" t="s">
        <v>85</v>
      </c>
      <c r="B5" s="31">
        <v>933484.6</v>
      </c>
      <c r="C5" s="31">
        <v>797954.49</v>
      </c>
      <c r="D5" s="19">
        <v>897730.27</v>
      </c>
      <c r="E5" s="9"/>
      <c r="F5" s="9"/>
      <c r="G5" s="9"/>
      <c r="H5" s="7"/>
    </row>
    <row r="6" spans="1:8" ht="12.75">
      <c r="A6" s="26" t="s">
        <v>91</v>
      </c>
      <c r="B6" s="31">
        <f>207936.56+76255+4217123.33+166000+99000+167600</f>
        <v>4933914.89</v>
      </c>
      <c r="C6" s="31">
        <f>207936.56+76255+4190000+165982.13+99000+167600</f>
        <v>4906773.6899999995</v>
      </c>
      <c r="D6" s="19">
        <f>215000+15000+217000+79200</f>
        <v>526200</v>
      </c>
      <c r="E6" s="9"/>
      <c r="F6" s="9"/>
      <c r="G6" s="9"/>
      <c r="H6" s="7"/>
    </row>
    <row r="7" spans="1:8" ht="12.75">
      <c r="A7" s="26" t="s">
        <v>136</v>
      </c>
      <c r="B7" s="31">
        <f>982815.97+1738200</f>
        <v>2721015.9699999997</v>
      </c>
      <c r="C7" s="31">
        <f>982815.97+690000</f>
        <v>1672815.97</v>
      </c>
      <c r="D7" s="19">
        <v>315000</v>
      </c>
      <c r="E7" s="9"/>
      <c r="F7" s="9"/>
      <c r="G7" s="9"/>
      <c r="H7" s="7"/>
    </row>
    <row r="8" spans="1:8" ht="12.75">
      <c r="A8" s="26" t="s">
        <v>92</v>
      </c>
      <c r="B8" s="31">
        <v>64000</v>
      </c>
      <c r="C8" s="31">
        <v>64000</v>
      </c>
      <c r="D8" s="19">
        <v>0</v>
      </c>
      <c r="E8" s="9"/>
      <c r="F8" s="9"/>
      <c r="G8" s="9"/>
      <c r="H8" s="7"/>
    </row>
    <row r="9" spans="1:8" ht="12.75">
      <c r="A9" s="26" t="s">
        <v>123</v>
      </c>
      <c r="B9" s="31">
        <v>3918000</v>
      </c>
      <c r="C9" s="31">
        <v>3918000</v>
      </c>
      <c r="D9" s="19">
        <v>2846000</v>
      </c>
      <c r="E9" s="9"/>
      <c r="F9" s="9"/>
      <c r="G9" s="9"/>
      <c r="H9" s="7"/>
    </row>
    <row r="10" spans="1:8" ht="12.75">
      <c r="A10" s="26" t="s">
        <v>139</v>
      </c>
      <c r="B10" s="31">
        <v>1000</v>
      </c>
      <c r="C10" s="31">
        <v>1000</v>
      </c>
      <c r="D10" s="19">
        <v>1000</v>
      </c>
      <c r="E10" s="9"/>
      <c r="F10" s="9"/>
      <c r="G10" s="9"/>
      <c r="H10" s="7"/>
    </row>
    <row r="11" spans="1:8" ht="12.75">
      <c r="A11" s="26" t="s">
        <v>86</v>
      </c>
      <c r="B11" s="31">
        <f>7223718.63+670400</f>
        <v>7894118.63</v>
      </c>
      <c r="C11" s="31">
        <v>670400</v>
      </c>
      <c r="D11" s="19">
        <f>6931700+30000</f>
        <v>6961700</v>
      </c>
      <c r="E11" s="9"/>
      <c r="F11" s="9"/>
      <c r="G11" s="9"/>
      <c r="H11" s="7"/>
    </row>
    <row r="12" spans="1:8" ht="12.75">
      <c r="A12" s="26" t="s">
        <v>132</v>
      </c>
      <c r="B12" s="31">
        <v>25000</v>
      </c>
      <c r="C12" s="31">
        <v>25000</v>
      </c>
      <c r="D12" s="19">
        <v>22500</v>
      </c>
      <c r="E12" s="9"/>
      <c r="F12" s="9"/>
      <c r="G12" s="9"/>
      <c r="H12" s="7"/>
    </row>
    <row r="13" spans="1:8" ht="12.75">
      <c r="A13" s="26" t="s">
        <v>97</v>
      </c>
      <c r="B13" s="31">
        <f>36499.11+2102271.38+99000+319250+40000+288569.88+430580+5000+834820+3999.26+2357508+20984+483871+1129032+1998.63+128450+30000+183998.4+641468.4+188280.8+100000+65000+371000+14000+4000+37000</f>
        <v>9916580.86</v>
      </c>
      <c r="C13" s="31">
        <f>36499.11+2102271.38+99000+319250+40000+288569.88+430580+5000+834820+3999.26+2357508+20984+483600+1128400+1998.63+128450+30000+183998.4+641468.4+188280.8+100000+65000+371000+14000+4000+37000</f>
        <v>9915677.86</v>
      </c>
      <c r="D13" s="19">
        <f>36900+213000+95100+6000+5000+4000+353500+1776000+140100+6000+570900+223000+64000+2000+19000+4000+37000</f>
        <v>3555500</v>
      </c>
      <c r="E13" s="9"/>
      <c r="F13" s="9"/>
      <c r="G13" s="9"/>
      <c r="H13" s="7"/>
    </row>
    <row r="14" spans="1:8" ht="12.75">
      <c r="A14" s="26" t="s">
        <v>125</v>
      </c>
      <c r="B14" s="31">
        <f>12600+845000</f>
        <v>857600</v>
      </c>
      <c r="C14" s="31">
        <f>12600+845000</f>
        <v>857600</v>
      </c>
      <c r="D14" s="19">
        <f>7200+761000</f>
        <v>768200</v>
      </c>
      <c r="E14" s="9"/>
      <c r="F14" s="9"/>
      <c r="G14" s="9"/>
      <c r="H14" s="7"/>
    </row>
    <row r="15" spans="1:8" ht="12.75">
      <c r="A15" s="26" t="s">
        <v>143</v>
      </c>
      <c r="B15" s="31">
        <f>3915800+4000+4313350+44700</f>
        <v>8277850</v>
      </c>
      <c r="C15" s="31">
        <f>3915800+4000+4313350+44700</f>
        <v>8277850</v>
      </c>
      <c r="D15" s="19">
        <v>8069000</v>
      </c>
      <c r="E15" s="9"/>
      <c r="F15" s="9"/>
      <c r="G15" s="9"/>
      <c r="H15" s="7"/>
    </row>
    <row r="16" spans="1:8" ht="12.75">
      <c r="A16" s="26" t="s">
        <v>87</v>
      </c>
      <c r="B16" s="31">
        <f>10000+60401+11683500+8557250+100200+82735.2+590555+275000+64000</f>
        <v>21423641.2</v>
      </c>
      <c r="C16" s="31">
        <f>10000+54556.4+11683348+8557250+100200+82735.2+590555+237000+64000</f>
        <v>21379644.599999998</v>
      </c>
      <c r="D16" s="19">
        <f>10000+49000+18535100+100200+575100+193000+75000</f>
        <v>19537400</v>
      </c>
      <c r="E16" s="9"/>
      <c r="F16" s="9"/>
      <c r="G16" s="9"/>
      <c r="H16" s="7"/>
    </row>
    <row r="17" spans="1:8" ht="12.75">
      <c r="A17" s="26" t="s">
        <v>98</v>
      </c>
      <c r="B17" s="31">
        <f>200000+6077.52+400000</f>
        <v>606077.52</v>
      </c>
      <c r="C17" s="31">
        <f>200000+6077.52+400000</f>
        <v>606077.52</v>
      </c>
      <c r="D17" s="19">
        <f>100000+250000</f>
        <v>350000</v>
      </c>
      <c r="E17" s="9"/>
      <c r="F17" s="9"/>
      <c r="G17" s="9"/>
      <c r="H17" s="7"/>
    </row>
    <row r="18" spans="1:8" ht="12.75">
      <c r="A18" s="26" t="s">
        <v>151</v>
      </c>
      <c r="B18" s="31">
        <f>154166.56+718233.44</f>
        <v>872400</v>
      </c>
      <c r="C18" s="31">
        <f>154166.56+718233.44</f>
        <v>872400</v>
      </c>
      <c r="D18" s="19">
        <f>459700+263600</f>
        <v>723300</v>
      </c>
      <c r="E18" s="9"/>
      <c r="F18" s="9"/>
      <c r="G18" s="9"/>
      <c r="H18" s="7"/>
    </row>
    <row r="19" spans="1:8" ht="12.75">
      <c r="A19" s="26" t="s">
        <v>144</v>
      </c>
      <c r="B19" s="31">
        <f>15000+498045</f>
        <v>513045</v>
      </c>
      <c r="C19" s="31">
        <f>15000+42269.64</f>
        <v>57269.64</v>
      </c>
      <c r="D19" s="19">
        <f>13500+276400+6000</f>
        <v>295900</v>
      </c>
      <c r="E19" s="9"/>
      <c r="F19" s="9"/>
      <c r="G19" s="9"/>
      <c r="H19" s="7"/>
    </row>
    <row r="20" spans="1:8" ht="12.75">
      <c r="A20" s="26" t="s">
        <v>124</v>
      </c>
      <c r="B20" s="31">
        <v>0</v>
      </c>
      <c r="C20" s="31">
        <v>0</v>
      </c>
      <c r="D20" s="19">
        <v>0</v>
      </c>
      <c r="E20" s="9"/>
      <c r="F20" s="9"/>
      <c r="G20" s="9"/>
      <c r="H20" s="7"/>
    </row>
    <row r="21" spans="1:9" s="38" customFormat="1" ht="19.5" customHeight="1">
      <c r="A21" s="32" t="s">
        <v>80</v>
      </c>
      <c r="B21" s="33">
        <f>20361027.84+64795.07+199029.66+1174699+2106480+6000+466255+2959554.53</f>
        <v>27337841.1</v>
      </c>
      <c r="C21" s="34">
        <f>19890295.72+64793.07+199016.96+1174699+2016527.8+6000+465904.73+2959554.53</f>
        <v>26776791.810000002</v>
      </c>
      <c r="D21" s="34">
        <f>19993200+20800+145100+1373100+2157000+5400+684800+2088000</f>
        <v>26467400</v>
      </c>
      <c r="E21" s="35"/>
      <c r="F21" s="36"/>
      <c r="G21" s="36"/>
      <c r="H21" s="37" t="s">
        <v>41</v>
      </c>
      <c r="I21" s="38" t="s">
        <v>78</v>
      </c>
    </row>
    <row r="22" spans="1:8" ht="15.75" customHeight="1">
      <c r="A22" s="20" t="s">
        <v>88</v>
      </c>
      <c r="B22" s="21">
        <f>18300+1897300+1612435+460800+2729895+100000+800+1849113.6+1073405+1492685+10359761.13+278078.86+10483653.03+1317900+1358785+10446480.98+263400+759300+405840+8619770+6297930+52500+26500+1430.16+2137369.84+3596660+1265200+18184200+9843900+1595940</f>
        <v>98529332.6</v>
      </c>
      <c r="C22" s="22">
        <f>16207.92+1897300+1612435+460800+2601807.81+100000+800+1840570.77+1073405+1480898.09+10359761.13+278078.86+10483653.03+1317900+1358785+10446480.98+263400+759300+405840+8434715.22+6297930+52500+26500+1430.16+2136873.7+3596660+1265200+18184200+9843900+1595940</f>
        <v>98193272.67</v>
      </c>
      <c r="D22" s="22">
        <f>24200+3749900+286600+40400+2639900+2304400+1465900+12745800+280000+254000+10937200+2636000+219900+11635000+237100+1006300+62200+1050500+13058200+47300+5400+5400+6841100+633900+280000+27645000+1501000</f>
        <v>101592600</v>
      </c>
      <c r="E22" s="23"/>
      <c r="F22" s="24"/>
      <c r="G22" s="24"/>
      <c r="H22" s="4"/>
    </row>
    <row r="23" spans="1:8" ht="21.75" customHeight="1">
      <c r="A23" s="20" t="s">
        <v>128</v>
      </c>
      <c r="B23" s="21">
        <v>12310639.07</v>
      </c>
      <c r="C23" s="22">
        <v>12310639.07</v>
      </c>
      <c r="D23" s="22">
        <v>0</v>
      </c>
      <c r="E23" s="23"/>
      <c r="F23" s="24"/>
      <c r="G23" s="24"/>
      <c r="H23" s="4"/>
    </row>
    <row r="24" spans="1:8" ht="21.75" customHeight="1">
      <c r="A24" s="20" t="s">
        <v>154</v>
      </c>
      <c r="B24" s="21">
        <v>2145120</v>
      </c>
      <c r="C24" s="22">
        <v>2145120</v>
      </c>
      <c r="D24" s="22">
        <v>1997000</v>
      </c>
      <c r="E24" s="23"/>
      <c r="F24" s="24"/>
      <c r="G24" s="24"/>
      <c r="H24" s="4"/>
    </row>
    <row r="25" spans="1:8" ht="39.75" customHeight="1">
      <c r="A25" s="20" t="s">
        <v>81</v>
      </c>
      <c r="B25" s="21"/>
      <c r="C25" s="22"/>
      <c r="D25" s="22"/>
      <c r="E25" s="23"/>
      <c r="F25" s="24"/>
      <c r="G25" s="24"/>
      <c r="H25" s="4"/>
    </row>
    <row r="26" spans="1:8" ht="15.75" customHeight="1">
      <c r="A26" s="20" t="s">
        <v>133</v>
      </c>
      <c r="B26" s="21">
        <v>32961.2</v>
      </c>
      <c r="C26" s="22">
        <v>32961.2</v>
      </c>
      <c r="D26" s="22">
        <v>32114.7</v>
      </c>
      <c r="E26" s="23"/>
      <c r="F26" s="24"/>
      <c r="G26" s="24"/>
      <c r="H26" s="4"/>
    </row>
    <row r="27" spans="1:9" ht="15" customHeight="1">
      <c r="A27" s="20" t="s">
        <v>82</v>
      </c>
      <c r="B27" s="21">
        <f>368300</f>
        <v>368300</v>
      </c>
      <c r="C27" s="28">
        <f>368300</f>
        <v>368300</v>
      </c>
      <c r="D27" s="22">
        <v>361000</v>
      </c>
      <c r="E27" s="23"/>
      <c r="F27" s="25"/>
      <c r="G27" s="25"/>
      <c r="H27" s="4" t="s">
        <v>42</v>
      </c>
      <c r="I27" s="8" t="s">
        <v>79</v>
      </c>
    </row>
    <row r="28" spans="1:8" ht="20.25" customHeight="1">
      <c r="A28" s="20" t="s">
        <v>99</v>
      </c>
      <c r="B28" s="21">
        <v>572385.85</v>
      </c>
      <c r="C28" s="28">
        <v>572385.85</v>
      </c>
      <c r="D28" s="22">
        <v>3822600</v>
      </c>
      <c r="E28" s="23"/>
      <c r="F28" s="25"/>
      <c r="G28" s="25"/>
      <c r="H28" s="4"/>
    </row>
    <row r="29" spans="1:8" ht="15" customHeight="1">
      <c r="A29" s="20" t="s">
        <v>140</v>
      </c>
      <c r="B29" s="21">
        <v>423400</v>
      </c>
      <c r="C29" s="28">
        <v>401130</v>
      </c>
      <c r="D29" s="22">
        <v>395000</v>
      </c>
      <c r="E29" s="23"/>
      <c r="F29" s="25"/>
      <c r="G29" s="25"/>
      <c r="H29" s="4"/>
    </row>
    <row r="30" spans="1:8" ht="15" customHeight="1">
      <c r="A30" s="20" t="s">
        <v>141</v>
      </c>
      <c r="B30" s="21">
        <v>387000</v>
      </c>
      <c r="C30" s="28">
        <v>387000</v>
      </c>
      <c r="D30" s="22">
        <v>362000</v>
      </c>
      <c r="E30" s="23"/>
      <c r="F30" s="25"/>
      <c r="G30" s="25"/>
      <c r="H30" s="4"/>
    </row>
    <row r="31" spans="1:8" ht="15.75" customHeight="1">
      <c r="A31" s="20" t="s">
        <v>137</v>
      </c>
      <c r="B31" s="21">
        <v>65834000</v>
      </c>
      <c r="C31" s="28">
        <v>65834000</v>
      </c>
      <c r="D31" s="22">
        <v>69323800</v>
      </c>
      <c r="E31" s="23"/>
      <c r="F31" s="25"/>
      <c r="G31" s="25"/>
      <c r="H31" s="4"/>
    </row>
    <row r="32" spans="1:8" ht="15.75" customHeight="1">
      <c r="A32" s="20" t="s">
        <v>149</v>
      </c>
      <c r="B32" s="21">
        <v>1368900</v>
      </c>
      <c r="C32" s="28">
        <v>1366390.46</v>
      </c>
      <c r="D32" s="22">
        <v>1387200</v>
      </c>
      <c r="E32" s="23"/>
      <c r="F32" s="25"/>
      <c r="G32" s="25"/>
      <c r="H32" s="4"/>
    </row>
    <row r="33" spans="1:8" ht="14.25" customHeight="1">
      <c r="A33" s="20" t="s">
        <v>108</v>
      </c>
      <c r="B33" s="21">
        <v>327124</v>
      </c>
      <c r="C33" s="28">
        <v>327124</v>
      </c>
      <c r="D33" s="22">
        <v>619700</v>
      </c>
      <c r="E33" s="23"/>
      <c r="F33" s="25"/>
      <c r="G33" s="25"/>
      <c r="H33" s="4"/>
    </row>
    <row r="34" spans="1:8" ht="14.25" customHeight="1">
      <c r="A34" s="20" t="s">
        <v>109</v>
      </c>
      <c r="B34" s="21">
        <v>1370611</v>
      </c>
      <c r="C34" s="28">
        <v>1370611</v>
      </c>
      <c r="D34" s="22">
        <v>2653800</v>
      </c>
      <c r="E34" s="23"/>
      <c r="F34" s="25"/>
      <c r="G34" s="25"/>
      <c r="H34" s="4"/>
    </row>
    <row r="35" spans="1:8" ht="14.25" customHeight="1">
      <c r="A35" s="20" t="s">
        <v>114</v>
      </c>
      <c r="B35" s="21">
        <v>40500</v>
      </c>
      <c r="C35" s="28">
        <v>40500</v>
      </c>
      <c r="D35" s="22">
        <v>71600</v>
      </c>
      <c r="E35" s="23"/>
      <c r="F35" s="25"/>
      <c r="G35" s="25"/>
      <c r="H35" s="4"/>
    </row>
    <row r="36" spans="1:8" ht="14.25" customHeight="1">
      <c r="A36" s="20" t="s">
        <v>138</v>
      </c>
      <c r="B36" s="21">
        <v>198000</v>
      </c>
      <c r="C36" s="28">
        <v>57471.52</v>
      </c>
      <c r="D36" s="22">
        <v>213600</v>
      </c>
      <c r="E36" s="23"/>
      <c r="F36" s="25"/>
      <c r="G36" s="25"/>
      <c r="H36" s="4"/>
    </row>
    <row r="37" spans="1:8" ht="14.25" customHeight="1">
      <c r="A37" s="20" t="s">
        <v>111</v>
      </c>
      <c r="B37" s="21">
        <v>8725102</v>
      </c>
      <c r="C37" s="28">
        <v>8725102</v>
      </c>
      <c r="D37" s="22">
        <v>3409300</v>
      </c>
      <c r="E37" s="23"/>
      <c r="F37" s="25"/>
      <c r="G37" s="25"/>
      <c r="H37" s="4"/>
    </row>
    <row r="38" spans="1:8" ht="14.25" customHeight="1">
      <c r="A38" s="20" t="s">
        <v>117</v>
      </c>
      <c r="B38" s="21">
        <v>73000</v>
      </c>
      <c r="C38" s="28">
        <v>65144</v>
      </c>
      <c r="D38" s="22">
        <v>71200</v>
      </c>
      <c r="E38" s="23"/>
      <c r="F38" s="25"/>
      <c r="G38" s="25"/>
      <c r="H38" s="4"/>
    </row>
    <row r="39" spans="1:8" ht="14.25" customHeight="1">
      <c r="A39" s="20" t="s">
        <v>113</v>
      </c>
      <c r="B39" s="21">
        <v>59689</v>
      </c>
      <c r="C39" s="28">
        <v>59689</v>
      </c>
      <c r="D39" s="22">
        <v>285300</v>
      </c>
      <c r="E39" s="23"/>
      <c r="F39" s="25"/>
      <c r="G39" s="25"/>
      <c r="H39" s="4"/>
    </row>
    <row r="40" spans="1:8" ht="14.25" customHeight="1">
      <c r="A40" s="20" t="s">
        <v>115</v>
      </c>
      <c r="B40" s="21">
        <v>2783100</v>
      </c>
      <c r="C40" s="28">
        <v>2783100</v>
      </c>
      <c r="D40" s="22">
        <v>0</v>
      </c>
      <c r="E40" s="23"/>
      <c r="F40" s="25"/>
      <c r="G40" s="25"/>
      <c r="H40" s="4"/>
    </row>
    <row r="41" spans="1:8" ht="16.5" customHeight="1">
      <c r="A41" s="20" t="s">
        <v>107</v>
      </c>
      <c r="B41" s="21">
        <v>2940436</v>
      </c>
      <c r="C41" s="28">
        <v>2940436</v>
      </c>
      <c r="D41" s="22">
        <v>5523200</v>
      </c>
      <c r="E41" s="23"/>
      <c r="F41" s="25"/>
      <c r="G41" s="25"/>
      <c r="H41" s="4"/>
    </row>
    <row r="42" spans="1:8" ht="16.5" customHeight="1">
      <c r="A42" s="20" t="s">
        <v>150</v>
      </c>
      <c r="B42" s="21">
        <v>990000</v>
      </c>
      <c r="C42" s="28">
        <v>990000</v>
      </c>
      <c r="D42" s="22">
        <v>1177800</v>
      </c>
      <c r="E42" s="23"/>
      <c r="F42" s="25"/>
      <c r="G42" s="25"/>
      <c r="H42" s="4"/>
    </row>
    <row r="43" spans="1:8" ht="16.5" customHeight="1">
      <c r="A43" s="20" t="s">
        <v>112</v>
      </c>
      <c r="B43" s="21">
        <v>750000</v>
      </c>
      <c r="C43" s="28">
        <v>750000</v>
      </c>
      <c r="D43" s="22">
        <v>405200</v>
      </c>
      <c r="E43" s="23"/>
      <c r="F43" s="25"/>
      <c r="G43" s="25"/>
      <c r="H43" s="4"/>
    </row>
    <row r="44" spans="1:8" ht="16.5" customHeight="1">
      <c r="A44" s="20" t="s">
        <v>118</v>
      </c>
      <c r="B44" s="21">
        <v>1707500</v>
      </c>
      <c r="C44" s="28">
        <v>1707500</v>
      </c>
      <c r="D44" s="22">
        <v>4950000</v>
      </c>
      <c r="E44" s="23"/>
      <c r="F44" s="25"/>
      <c r="G44" s="25"/>
      <c r="H44" s="4"/>
    </row>
    <row r="45" spans="1:8" ht="16.5" customHeight="1">
      <c r="A45" s="20" t="s">
        <v>116</v>
      </c>
      <c r="B45" s="21">
        <v>1818500</v>
      </c>
      <c r="C45" s="28">
        <v>1818500</v>
      </c>
      <c r="D45" s="22">
        <v>1799200</v>
      </c>
      <c r="E45" s="23"/>
      <c r="F45" s="25"/>
      <c r="G45" s="25"/>
      <c r="H45" s="4"/>
    </row>
    <row r="46" spans="1:8" ht="17.25" customHeight="1">
      <c r="A46" s="20" t="s">
        <v>106</v>
      </c>
      <c r="B46" s="21">
        <v>9953000</v>
      </c>
      <c r="C46" s="28">
        <v>9953000</v>
      </c>
      <c r="D46" s="22">
        <v>0</v>
      </c>
      <c r="E46" s="23"/>
      <c r="F46" s="25"/>
      <c r="G46" s="25"/>
      <c r="H46" s="4"/>
    </row>
    <row r="47" spans="1:8" ht="15.75" customHeight="1">
      <c r="A47" s="20" t="s">
        <v>101</v>
      </c>
      <c r="B47" s="21">
        <v>1134083</v>
      </c>
      <c r="C47" s="28">
        <v>1134083</v>
      </c>
      <c r="D47" s="22">
        <v>3680800</v>
      </c>
      <c r="E47" s="23"/>
      <c r="F47" s="25"/>
      <c r="G47" s="25"/>
      <c r="H47" s="4"/>
    </row>
    <row r="48" spans="1:8" ht="15.75" customHeight="1">
      <c r="A48" s="20" t="s">
        <v>105</v>
      </c>
      <c r="B48" s="21">
        <v>12500000</v>
      </c>
      <c r="C48" s="28">
        <v>12500000</v>
      </c>
      <c r="D48" s="22">
        <v>0</v>
      </c>
      <c r="E48" s="23"/>
      <c r="F48" s="25"/>
      <c r="G48" s="25"/>
      <c r="H48" s="4"/>
    </row>
    <row r="49" spans="1:8" ht="16.5" customHeight="1">
      <c r="A49" s="20" t="s">
        <v>100</v>
      </c>
      <c r="B49" s="21">
        <v>698790</v>
      </c>
      <c r="C49" s="28">
        <v>698790</v>
      </c>
      <c r="D49" s="22">
        <v>143900</v>
      </c>
      <c r="E49" s="23"/>
      <c r="F49" s="25"/>
      <c r="G49" s="25"/>
      <c r="H49" s="4"/>
    </row>
    <row r="50" spans="1:8" ht="16.5" customHeight="1">
      <c r="A50" s="20" t="s">
        <v>103</v>
      </c>
      <c r="B50" s="21">
        <v>2761599</v>
      </c>
      <c r="C50" s="28">
        <v>2761599</v>
      </c>
      <c r="D50" s="22">
        <v>82500</v>
      </c>
      <c r="E50" s="23"/>
      <c r="F50" s="25"/>
      <c r="G50" s="25"/>
      <c r="H50" s="4"/>
    </row>
    <row r="51" spans="1:8" ht="16.5" customHeight="1">
      <c r="A51" s="20" t="s">
        <v>145</v>
      </c>
      <c r="B51" s="21">
        <v>700866</v>
      </c>
      <c r="C51" s="28">
        <v>700866</v>
      </c>
      <c r="D51" s="22">
        <v>0</v>
      </c>
      <c r="E51" s="23"/>
      <c r="F51" s="25"/>
      <c r="G51" s="25"/>
      <c r="H51" s="4"/>
    </row>
    <row r="52" spans="1:8" ht="16.5" customHeight="1">
      <c r="A52" s="20" t="s">
        <v>146</v>
      </c>
      <c r="B52" s="21">
        <v>2792304</v>
      </c>
      <c r="C52" s="28">
        <v>2792304</v>
      </c>
      <c r="D52" s="22">
        <v>1401700</v>
      </c>
      <c r="E52" s="23"/>
      <c r="F52" s="25"/>
      <c r="G52" s="25"/>
      <c r="H52" s="4"/>
    </row>
    <row r="53" spans="1:8" ht="12.75">
      <c r="A53" s="26" t="s">
        <v>83</v>
      </c>
      <c r="B53" s="22">
        <v>1704.26</v>
      </c>
      <c r="C53" s="22">
        <v>0</v>
      </c>
      <c r="D53" s="22">
        <v>2381.73</v>
      </c>
      <c r="E53" s="22"/>
      <c r="F53" s="29"/>
      <c r="G53" s="29"/>
      <c r="H53" s="7"/>
    </row>
    <row r="54" spans="1:8" ht="12.75">
      <c r="A54" s="26" t="s">
        <v>102</v>
      </c>
      <c r="B54" s="22">
        <v>8967825</v>
      </c>
      <c r="C54" s="22">
        <v>8967825</v>
      </c>
      <c r="D54" s="22">
        <v>6486000</v>
      </c>
      <c r="E54" s="22"/>
      <c r="F54" s="29"/>
      <c r="G54" s="29"/>
      <c r="H54" s="7"/>
    </row>
    <row r="55" spans="1:8" ht="12.75">
      <c r="A55" s="26" t="s">
        <v>104</v>
      </c>
      <c r="B55" s="22">
        <v>5883800</v>
      </c>
      <c r="C55" s="22">
        <v>5883800</v>
      </c>
      <c r="D55" s="22">
        <v>7289900</v>
      </c>
      <c r="E55" s="22"/>
      <c r="F55" s="29"/>
      <c r="G55" s="29"/>
      <c r="H55" s="7"/>
    </row>
    <row r="56" spans="1:9" ht="12.75">
      <c r="A56" s="26" t="s">
        <v>94</v>
      </c>
      <c r="B56" s="22"/>
      <c r="C56" s="22"/>
      <c r="D56" s="22"/>
      <c r="E56" s="22"/>
      <c r="F56" s="29"/>
      <c r="G56" s="29"/>
      <c r="H56" s="7"/>
      <c r="I56" s="12"/>
    </row>
    <row r="57" spans="1:9" ht="12.75">
      <c r="A57" s="26" t="s">
        <v>155</v>
      </c>
      <c r="B57" s="22">
        <v>5754400</v>
      </c>
      <c r="C57" s="22">
        <v>5754400</v>
      </c>
      <c r="D57" s="22">
        <v>5773900</v>
      </c>
      <c r="E57" s="22"/>
      <c r="F57" s="29"/>
      <c r="G57" s="29"/>
      <c r="H57" s="7"/>
      <c r="I57" s="12"/>
    </row>
    <row r="58" spans="1:8" ht="12.75">
      <c r="A58" s="26" t="s">
        <v>95</v>
      </c>
      <c r="B58" s="22">
        <v>273.2</v>
      </c>
      <c r="C58" s="22">
        <v>273.2</v>
      </c>
      <c r="D58" s="22">
        <v>314.5</v>
      </c>
      <c r="E58" s="22"/>
      <c r="F58" s="29"/>
      <c r="G58" s="29"/>
      <c r="H58" s="7"/>
    </row>
    <row r="59" spans="1:8" ht="12.75">
      <c r="A59" s="26" t="s">
        <v>96</v>
      </c>
      <c r="B59" s="22">
        <f>5187190+3784325+1750000+2399148.34+59000+50000+248711+478725+705375+3966500</f>
        <v>18628974.34</v>
      </c>
      <c r="C59" s="22">
        <f>5187190+3784325+1750000+2399148.34+59000+50000+248711+478725+705375+3966500</f>
        <v>18628974.34</v>
      </c>
      <c r="D59" s="22">
        <f>706800+560000+3000000+3308100+104400</f>
        <v>7679300</v>
      </c>
      <c r="E59" s="22"/>
      <c r="F59" s="29"/>
      <c r="G59" s="29"/>
      <c r="H59" s="7" t="s">
        <v>43</v>
      </c>
    </row>
    <row r="60" spans="1:8" ht="12.75">
      <c r="A60" s="26"/>
      <c r="B60" s="22"/>
      <c r="C60" s="22"/>
      <c r="D60" s="22"/>
      <c r="E60" s="22"/>
      <c r="F60" s="29"/>
      <c r="G60" s="29"/>
      <c r="H60" s="7" t="s">
        <v>44</v>
      </c>
    </row>
    <row r="61" spans="1:8" ht="12.75">
      <c r="A61" s="26"/>
      <c r="B61" s="22">
        <f>SUM(B4:B59)</f>
        <v>372124169.18999994</v>
      </c>
      <c r="C61" s="22">
        <f>SUM(C4:C59)</f>
        <v>362190089.58999985</v>
      </c>
      <c r="D61" s="22">
        <f>SUM(D4:D59)</f>
        <v>312592410.93</v>
      </c>
      <c r="E61" s="22"/>
      <c r="F61" s="29"/>
      <c r="G61" s="29"/>
      <c r="H61" s="7"/>
    </row>
    <row r="62" spans="1:8" ht="12.75">
      <c r="A62" s="26"/>
      <c r="B62" s="22"/>
      <c r="C62" s="22"/>
      <c r="D62" s="22"/>
      <c r="E62" s="22"/>
      <c r="F62" s="29"/>
      <c r="G62" s="29"/>
      <c r="H62" s="7"/>
    </row>
    <row r="63" spans="1:8" ht="12.75">
      <c r="A63" s="26"/>
      <c r="B63" s="22">
        <f>411125549.46-B61</f>
        <v>39001380.27000004</v>
      </c>
      <c r="C63" s="22">
        <f>399851298.8-C61</f>
        <v>37661209.21000016</v>
      </c>
      <c r="D63" s="22">
        <f>369107681.8-D61</f>
        <v>56515270.870000005</v>
      </c>
      <c r="E63" s="22"/>
      <c r="F63" s="29"/>
      <c r="G63" s="29"/>
      <c r="H63" s="7"/>
    </row>
    <row r="64" spans="1:8" ht="12.75">
      <c r="A64" s="26"/>
      <c r="B64" s="22"/>
      <c r="C64" s="22"/>
      <c r="D64" s="22"/>
      <c r="E64" s="22"/>
      <c r="F64" s="29"/>
      <c r="G64" s="29"/>
      <c r="H64" s="7"/>
    </row>
    <row r="65" spans="1:8" ht="12.75">
      <c r="A65" s="26"/>
      <c r="B65" s="22"/>
      <c r="C65" s="22"/>
      <c r="D65" s="22"/>
      <c r="E65" s="22"/>
      <c r="F65" s="29"/>
      <c r="G65" s="29"/>
      <c r="H65" s="7"/>
    </row>
    <row r="66" spans="1:12" ht="12.75">
      <c r="A66" s="26"/>
      <c r="B66" s="22"/>
      <c r="C66" s="22"/>
      <c r="D66" s="22"/>
      <c r="E66" s="22"/>
      <c r="F66" s="29"/>
      <c r="G66" s="29"/>
      <c r="H66" s="7"/>
      <c r="L66" s="27"/>
    </row>
    <row r="67" spans="1:8" ht="12.75">
      <c r="A67" s="26"/>
      <c r="B67" s="22"/>
      <c r="C67" s="22"/>
      <c r="D67" s="22"/>
      <c r="E67" s="22"/>
      <c r="F67" s="29"/>
      <c r="G67" s="29"/>
      <c r="H67" s="7"/>
    </row>
    <row r="68" spans="1:8" ht="12.75">
      <c r="A68" s="26"/>
      <c r="B68" s="22"/>
      <c r="C68" s="22"/>
      <c r="D68" s="22"/>
      <c r="E68" s="22"/>
      <c r="F68" s="29"/>
      <c r="G68" s="29"/>
      <c r="H68" s="7"/>
    </row>
    <row r="69" spans="1:8" ht="12.75">
      <c r="A69" s="26"/>
      <c r="B69" s="22"/>
      <c r="C69" s="22"/>
      <c r="D69" s="22"/>
      <c r="E69" s="22"/>
      <c r="F69" s="29"/>
      <c r="G69" s="29"/>
      <c r="H69" s="7" t="s">
        <v>45</v>
      </c>
    </row>
    <row r="70" spans="1:8" ht="12.75">
      <c r="A70" s="26"/>
      <c r="B70" s="22"/>
      <c r="C70" s="22"/>
      <c r="D70" s="22"/>
      <c r="E70" s="22"/>
      <c r="F70" s="29"/>
      <c r="G70" s="29"/>
      <c r="H70" s="7"/>
    </row>
    <row r="71" spans="1:8" ht="12.75">
      <c r="A71" s="26"/>
      <c r="B71" s="22"/>
      <c r="C71" s="22"/>
      <c r="D71" s="22"/>
      <c r="E71" s="22"/>
      <c r="F71" s="29"/>
      <c r="G71" s="29"/>
      <c r="H71" s="7"/>
    </row>
    <row r="72" spans="1:8" ht="12.75">
      <c r="A72" s="26"/>
      <c r="B72" s="22"/>
      <c r="C72" s="22"/>
      <c r="D72" s="22"/>
      <c r="E72" s="22"/>
      <c r="F72" s="29"/>
      <c r="G72" s="29"/>
      <c r="H72" s="7"/>
    </row>
    <row r="73" spans="1:8" ht="12.75">
      <c r="A73" s="26"/>
      <c r="B73" s="22"/>
      <c r="C73" s="22"/>
      <c r="D73" s="22"/>
      <c r="E73" s="22"/>
      <c r="F73" s="29"/>
      <c r="G73" s="29"/>
      <c r="H73" s="7"/>
    </row>
    <row r="74" spans="1:8" ht="12.75">
      <c r="A74" s="26"/>
      <c r="B74" s="22"/>
      <c r="C74" s="22"/>
      <c r="D74" s="22"/>
      <c r="E74" s="22"/>
      <c r="F74" s="29"/>
      <c r="G74" s="29"/>
      <c r="H74" s="7"/>
    </row>
    <row r="75" spans="1:8" ht="12.75">
      <c r="A75" s="26"/>
      <c r="B75" s="22"/>
      <c r="C75" s="22"/>
      <c r="D75" s="22"/>
      <c r="E75" s="22"/>
      <c r="F75" s="29"/>
      <c r="G75" s="29"/>
      <c r="H75" s="7"/>
    </row>
    <row r="76" spans="1:8" ht="12.75">
      <c r="A76" s="26"/>
      <c r="B76" s="22"/>
      <c r="C76" s="22"/>
      <c r="D76" s="22"/>
      <c r="E76" s="22"/>
      <c r="F76" s="30"/>
      <c r="G76" s="30"/>
      <c r="H76" s="7" t="s">
        <v>46</v>
      </c>
    </row>
    <row r="77" spans="1:8" ht="12.75">
      <c r="A77" s="11" t="s">
        <v>47</v>
      </c>
      <c r="B77" s="19"/>
      <c r="C77" s="19">
        <f>SUM(C21:C76)</f>
        <v>699650381.92</v>
      </c>
      <c r="D77" s="19">
        <f>SUM(D21:D76)</f>
        <v>628568992.73</v>
      </c>
      <c r="E77" s="19"/>
      <c r="F77" s="9"/>
      <c r="G77" s="9"/>
      <c r="H77" s="7"/>
    </row>
    <row r="78" spans="1:8" ht="12.75">
      <c r="A78" s="5"/>
      <c r="B78" s="5"/>
      <c r="C78" s="7"/>
      <c r="D78" s="7"/>
      <c r="E78" s="7"/>
      <c r="F78" s="7"/>
      <c r="G78" s="7"/>
      <c r="H78" s="7"/>
    </row>
    <row r="79" spans="1:8" ht="12.75">
      <c r="A79" s="5"/>
      <c r="B79" s="5"/>
      <c r="C79" s="7"/>
      <c r="D79" s="7"/>
      <c r="E79" s="7"/>
      <c r="F79" s="7"/>
      <c r="G79" s="7"/>
      <c r="H79" s="7"/>
    </row>
    <row r="80" spans="1:8" ht="12.75">
      <c r="A80" s="5" t="s">
        <v>48</v>
      </c>
      <c r="B80" s="5"/>
      <c r="C80" s="7">
        <v>272.7</v>
      </c>
      <c r="D80" s="7">
        <v>276.1</v>
      </c>
      <c r="E80" s="7"/>
      <c r="F80" s="7"/>
      <c r="G80" s="7"/>
      <c r="H80" s="7"/>
    </row>
    <row r="81" spans="1:8" ht="12.75">
      <c r="A81" s="5" t="s">
        <v>49</v>
      </c>
      <c r="B81" s="5"/>
      <c r="C81" s="7">
        <v>3966.5</v>
      </c>
      <c r="D81" s="7">
        <v>7140.8</v>
      </c>
      <c r="E81" s="7"/>
      <c r="F81" s="7"/>
      <c r="G81" s="7"/>
      <c r="H81" s="7"/>
    </row>
    <row r="82" spans="1:8" ht="12.75">
      <c r="A82" s="5" t="s">
        <v>50</v>
      </c>
      <c r="B82" s="5"/>
      <c r="C82" s="7">
        <f>5460.2+3983.5+2375+4331+742.5+2133.7</f>
        <v>19025.9</v>
      </c>
      <c r="D82" s="7">
        <f>5085.5+3710.2+0+691.5+249.4</f>
        <v>9736.6</v>
      </c>
      <c r="E82" s="7"/>
      <c r="F82" s="7"/>
      <c r="G82" s="7"/>
      <c r="H82" s="7"/>
    </row>
    <row r="83" spans="1:8" ht="12.75">
      <c r="A83" s="11" t="s">
        <v>47</v>
      </c>
      <c r="B83" s="11"/>
      <c r="C83" s="13">
        <f>SUM(C80:C82)</f>
        <v>23265.100000000002</v>
      </c>
      <c r="D83" s="13">
        <f>SUM(D80:D82)</f>
        <v>17153.5</v>
      </c>
      <c r="E83" s="13"/>
      <c r="F83" s="13"/>
      <c r="G83" s="13"/>
      <c r="H83" s="7"/>
    </row>
    <row r="84" spans="1:8" ht="51">
      <c r="A84" s="14" t="s">
        <v>51</v>
      </c>
      <c r="B84" s="14"/>
      <c r="C84" s="15">
        <f>5754.4-3620.7</f>
        <v>2133.7</v>
      </c>
      <c r="D84" s="15">
        <f>6742.8-6493.4</f>
        <v>249.40000000000055</v>
      </c>
      <c r="E84" s="13"/>
      <c r="F84" s="13"/>
      <c r="G84" s="13"/>
      <c r="H84" s="10"/>
    </row>
    <row r="85" spans="1:8" ht="12.75">
      <c r="A85" s="5"/>
      <c r="B85" s="5"/>
      <c r="C85" s="7"/>
      <c r="D85" s="7"/>
      <c r="E85" s="7"/>
      <c r="F85" s="7"/>
      <c r="G85" s="7"/>
      <c r="H85" s="7"/>
    </row>
    <row r="86" spans="1:8" ht="12.75">
      <c r="A86" s="5" t="s">
        <v>52</v>
      </c>
      <c r="B86" s="5"/>
      <c r="C86" s="7">
        <v>2775.6</v>
      </c>
      <c r="D86" s="7"/>
      <c r="E86" s="7"/>
      <c r="F86" s="7"/>
      <c r="G86" s="7"/>
      <c r="H86" s="7"/>
    </row>
    <row r="87" spans="1:8" ht="12.75">
      <c r="A87" s="5" t="s">
        <v>53</v>
      </c>
      <c r="B87" s="5"/>
      <c r="C87" s="7">
        <v>3620.7</v>
      </c>
      <c r="D87" s="7">
        <v>6493.4</v>
      </c>
      <c r="E87" s="7"/>
      <c r="F87" s="7"/>
      <c r="G87" s="7"/>
      <c r="H87" s="7"/>
    </row>
    <row r="88" spans="1:8" ht="12.75">
      <c r="A88" s="5" t="s">
        <v>54</v>
      </c>
      <c r="B88" s="5"/>
      <c r="C88" s="7">
        <v>63944.4</v>
      </c>
      <c r="D88" s="7">
        <v>63944.4</v>
      </c>
      <c r="E88" s="7"/>
      <c r="F88" s="7"/>
      <c r="G88" s="7"/>
      <c r="H88" s="7"/>
    </row>
    <row r="89" spans="1:8" ht="12.75">
      <c r="A89" s="5" t="s">
        <v>55</v>
      </c>
      <c r="B89" s="5"/>
      <c r="C89" s="10"/>
      <c r="D89" s="10"/>
      <c r="E89" s="10"/>
      <c r="F89" s="10"/>
      <c r="G89" s="10"/>
      <c r="H89" s="7"/>
    </row>
    <row r="90" spans="1:8" ht="12.75">
      <c r="A90" s="5" t="s">
        <v>56</v>
      </c>
      <c r="B90" s="5"/>
      <c r="C90" s="10">
        <v>5050.1</v>
      </c>
      <c r="D90" s="10">
        <v>5359.6</v>
      </c>
      <c r="E90" s="10"/>
      <c r="F90" s="10"/>
      <c r="G90" s="10"/>
      <c r="H90" s="7"/>
    </row>
    <row r="91" spans="1:8" ht="12.75">
      <c r="A91" s="5" t="s">
        <v>57</v>
      </c>
      <c r="B91" s="5"/>
      <c r="C91" s="10">
        <v>387.7</v>
      </c>
      <c r="D91" s="10">
        <v>412.3</v>
      </c>
      <c r="E91" s="10"/>
      <c r="F91" s="10"/>
      <c r="G91" s="10"/>
      <c r="H91" s="7"/>
    </row>
    <row r="92" spans="1:8" ht="12.75">
      <c r="A92" s="5" t="s">
        <v>58</v>
      </c>
      <c r="B92" s="5"/>
      <c r="C92" s="10">
        <v>387</v>
      </c>
      <c r="D92" s="10">
        <v>411.4</v>
      </c>
      <c r="E92" s="10"/>
      <c r="F92" s="10"/>
      <c r="G92" s="10"/>
      <c r="H92" s="7"/>
    </row>
    <row r="93" spans="1:8" ht="12.75">
      <c r="A93" s="5" t="s">
        <v>59</v>
      </c>
      <c r="B93" s="5"/>
      <c r="C93" s="10">
        <v>7790.7</v>
      </c>
      <c r="D93" s="10">
        <v>7790.7</v>
      </c>
      <c r="E93" s="10"/>
      <c r="F93" s="10"/>
      <c r="G93" s="10"/>
      <c r="H93" s="7"/>
    </row>
    <row r="94" spans="1:8" ht="12.75">
      <c r="A94" s="5" t="s">
        <v>60</v>
      </c>
      <c r="B94" s="5"/>
      <c r="C94" s="10">
        <v>1094.2</v>
      </c>
      <c r="D94" s="10">
        <v>1094.2</v>
      </c>
      <c r="E94" s="10"/>
      <c r="F94" s="10"/>
      <c r="G94" s="10"/>
      <c r="H94" s="7"/>
    </row>
    <row r="95" spans="1:8" ht="12.75">
      <c r="A95" s="5" t="s">
        <v>61</v>
      </c>
      <c r="B95" s="5"/>
      <c r="C95" s="10">
        <f>287.2+276.9</f>
        <v>564.0999999999999</v>
      </c>
      <c r="D95" s="10">
        <f>269.7+276.9</f>
        <v>546.5999999999999</v>
      </c>
      <c r="E95" s="10"/>
      <c r="F95" s="10"/>
      <c r="G95" s="10"/>
      <c r="H95" s="7"/>
    </row>
    <row r="96" spans="1:8" ht="12.75">
      <c r="A96" s="5" t="s">
        <v>62</v>
      </c>
      <c r="B96" s="5"/>
      <c r="C96" s="10">
        <v>1313.6</v>
      </c>
      <c r="D96" s="10">
        <v>1313.6</v>
      </c>
      <c r="E96" s="10"/>
      <c r="F96" s="10"/>
      <c r="G96" s="10"/>
      <c r="H96" s="7"/>
    </row>
    <row r="97" spans="1:8" ht="12.75">
      <c r="A97" s="5" t="s">
        <v>63</v>
      </c>
      <c r="B97" s="5"/>
      <c r="C97" s="10"/>
      <c r="D97" s="10">
        <v>3.5</v>
      </c>
      <c r="E97" s="10"/>
      <c r="F97" s="10"/>
      <c r="G97" s="10"/>
      <c r="H97" s="7"/>
    </row>
    <row r="98" spans="1:8" ht="12.75">
      <c r="A98" s="5" t="s">
        <v>64</v>
      </c>
      <c r="B98" s="5"/>
      <c r="C98" s="10">
        <v>220</v>
      </c>
      <c r="D98" s="10">
        <v>220</v>
      </c>
      <c r="E98" s="10"/>
      <c r="F98" s="10"/>
      <c r="G98" s="10"/>
      <c r="H98" s="7"/>
    </row>
    <row r="99" spans="1:8" ht="12.75">
      <c r="A99" s="5" t="s">
        <v>65</v>
      </c>
      <c r="B99" s="5"/>
      <c r="C99" s="10">
        <v>445.7</v>
      </c>
      <c r="D99" s="10">
        <v>503.6</v>
      </c>
      <c r="E99" s="10"/>
      <c r="F99" s="10"/>
      <c r="G99" s="10"/>
      <c r="H99" s="7"/>
    </row>
    <row r="100" spans="1:8" ht="12.75">
      <c r="A100" s="5" t="s">
        <v>66</v>
      </c>
      <c r="B100" s="5"/>
      <c r="C100" s="10">
        <v>412.6</v>
      </c>
      <c r="D100" s="10">
        <v>412.6</v>
      </c>
      <c r="E100" s="10"/>
      <c r="F100" s="10"/>
      <c r="G100" s="10"/>
      <c r="H100" s="7"/>
    </row>
    <row r="101" spans="1:8" ht="12.75">
      <c r="A101" s="5" t="s">
        <v>67</v>
      </c>
      <c r="B101" s="5"/>
      <c r="C101" s="10">
        <v>4900.5</v>
      </c>
      <c r="D101" s="10">
        <v>4900.5</v>
      </c>
      <c r="E101" s="10"/>
      <c r="F101" s="10"/>
      <c r="G101" s="10"/>
      <c r="H101" s="7"/>
    </row>
    <row r="102" spans="1:8" ht="12.75">
      <c r="A102" s="5" t="s">
        <v>68</v>
      </c>
      <c r="B102" s="5"/>
      <c r="C102" s="10">
        <f>5429.6+2808.4</f>
        <v>8238</v>
      </c>
      <c r="D102" s="10">
        <f>5492.6+2808.4</f>
        <v>8301</v>
      </c>
      <c r="E102" s="10"/>
      <c r="F102" s="10"/>
      <c r="G102" s="10"/>
      <c r="H102" s="7"/>
    </row>
    <row r="103" spans="1:8" ht="12.75">
      <c r="A103" s="5" t="s">
        <v>69</v>
      </c>
      <c r="B103" s="5"/>
      <c r="C103" s="10">
        <v>301.5</v>
      </c>
      <c r="D103" s="10">
        <v>282.9</v>
      </c>
      <c r="E103" s="10"/>
      <c r="F103" s="10"/>
      <c r="G103" s="10"/>
      <c r="H103" s="7"/>
    </row>
    <row r="104" spans="1:8" ht="12.75">
      <c r="A104" s="5" t="s">
        <v>70</v>
      </c>
      <c r="B104" s="5"/>
      <c r="C104" s="10">
        <v>1169.6</v>
      </c>
      <c r="D104" s="10">
        <v>1242.1</v>
      </c>
      <c r="E104" s="10"/>
      <c r="F104" s="10"/>
      <c r="G104" s="10"/>
      <c r="H104" s="7"/>
    </row>
    <row r="105" spans="1:8" ht="12.75">
      <c r="A105" s="5" t="s">
        <v>71</v>
      </c>
      <c r="B105" s="5"/>
      <c r="C105" s="10">
        <v>1692.7</v>
      </c>
      <c r="D105" s="10">
        <v>1603.6</v>
      </c>
      <c r="E105" s="10"/>
      <c r="F105" s="10"/>
      <c r="G105" s="10"/>
      <c r="H105" s="7"/>
    </row>
    <row r="106" spans="1:8" ht="12.75">
      <c r="A106" s="5" t="s">
        <v>72</v>
      </c>
      <c r="B106" s="5"/>
      <c r="C106" s="10">
        <v>363.6</v>
      </c>
      <c r="D106" s="10">
        <v>363.6</v>
      </c>
      <c r="E106" s="10"/>
      <c r="F106" s="10"/>
      <c r="G106" s="10"/>
      <c r="H106" s="7"/>
    </row>
    <row r="107" spans="1:8" ht="12.75">
      <c r="A107" s="5" t="s">
        <v>73</v>
      </c>
      <c r="B107" s="5"/>
      <c r="C107" s="10">
        <v>73</v>
      </c>
      <c r="D107" s="10">
        <v>59.3</v>
      </c>
      <c r="E107" s="10"/>
      <c r="F107" s="10"/>
      <c r="G107" s="10"/>
      <c r="H107" s="7"/>
    </row>
    <row r="108" spans="1:8" ht="12.75">
      <c r="A108" s="5" t="s">
        <v>74</v>
      </c>
      <c r="B108" s="5"/>
      <c r="C108" s="10">
        <v>38048</v>
      </c>
      <c r="D108" s="10">
        <v>38048</v>
      </c>
      <c r="E108" s="10"/>
      <c r="F108" s="10"/>
      <c r="G108" s="10"/>
      <c r="H108" s="7"/>
    </row>
    <row r="109" spans="1:8" ht="12.75">
      <c r="A109" s="11" t="s">
        <v>47</v>
      </c>
      <c r="B109" s="11"/>
      <c r="C109" s="13">
        <f>SUM(C86:C108)</f>
        <v>142793.30000000002</v>
      </c>
      <c r="D109" s="13">
        <f>SUM(D86:D108)</f>
        <v>143306.90000000002</v>
      </c>
      <c r="E109" s="13"/>
      <c r="F109" s="13"/>
      <c r="G109" s="13"/>
      <c r="H109" s="7"/>
    </row>
    <row r="110" spans="1:8" ht="12.75">
      <c r="A110" s="5"/>
      <c r="B110" s="5"/>
      <c r="C110" s="7"/>
      <c r="D110" s="7"/>
      <c r="E110" s="7"/>
      <c r="F110" s="7"/>
      <c r="G110" s="7"/>
      <c r="H110" s="7"/>
    </row>
    <row r="111" spans="1:8" ht="12.75">
      <c r="A111" s="11" t="s">
        <v>75</v>
      </c>
      <c r="B111" s="11"/>
      <c r="C111" s="9">
        <f>C77+C83+C109</f>
        <v>699816440.3199999</v>
      </c>
      <c r="D111" s="9">
        <f>D77+D83+D109</f>
        <v>628729453.13</v>
      </c>
      <c r="E111" s="9"/>
      <c r="F111" s="9"/>
      <c r="G111" s="9"/>
      <c r="H111" s="7"/>
    </row>
  </sheetData>
  <sheetProtection/>
  <mergeCells count="2">
    <mergeCell ref="C1:E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1</cp:lastModifiedBy>
  <cp:lastPrinted>2022-03-21T11:54:52Z</cp:lastPrinted>
  <dcterms:created xsi:type="dcterms:W3CDTF">2015-01-13T12:52:34Z</dcterms:created>
  <dcterms:modified xsi:type="dcterms:W3CDTF">2022-05-26T13:03:24Z</dcterms:modified>
  <cp:category/>
  <cp:version/>
  <cp:contentType/>
  <cp:contentStatus/>
</cp:coreProperties>
</file>